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0" windowWidth="19440" windowHeight="8085" activeTab="0"/>
  </bookViews>
  <sheets>
    <sheet name="Sheet1" sheetId="1" r:id="rId1"/>
  </sheets>
  <definedNames>
    <definedName name="_xlnm.Print_Area" localSheetId="0">'Sheet1'!$A$1:$R$81</definedName>
  </definedNames>
  <calcPr fullCalcOnLoad="1"/>
</workbook>
</file>

<file path=xl/sharedStrings.xml><?xml version="1.0" encoding="utf-8"?>
<sst xmlns="http://schemas.openxmlformats.org/spreadsheetml/2006/main" count="164" uniqueCount="161">
  <si>
    <t>Наименование объекта, адрес расположения объекта</t>
  </si>
  <si>
    <t>Год ввода в эксплуатацию</t>
  </si>
  <si>
    <t>l</t>
  </si>
  <si>
    <t>16-ти квартирный жилой дом №6, ул.Гагарина</t>
  </si>
  <si>
    <t>12-ти квартирный жилой дом №14, ул.Каменка</t>
  </si>
  <si>
    <t>18-ти квартирный жилой дом №1а, ул.Коммунистическая</t>
  </si>
  <si>
    <t>100- квартирный жилой дом №18, ул. Красноармейская</t>
  </si>
  <si>
    <t>18-ти квартирный жилой дом №35, ул. Ленина</t>
  </si>
  <si>
    <t>22-ти квартирный жилой дом №8, ул.Гагарина</t>
  </si>
  <si>
    <t>12-ти квартирный жилой дом №10, ул.Каменка</t>
  </si>
  <si>
    <t>80-ти квартирный жилой дом №13, ул.Каменка</t>
  </si>
  <si>
    <t>80-ти квартирный жилой дом №15, ул. Каменка</t>
  </si>
  <si>
    <t>18-ти квартирный жилой дом №1б, ул.Коммунистическая</t>
  </si>
  <si>
    <t>16-ти квартирный жилой дом №43, ул. Ленина</t>
  </si>
  <si>
    <t>16-ти квартирный жилой дом №45, ул. Ленина</t>
  </si>
  <si>
    <t>16-ти квартирный жилой дом №47, ул.Ленина</t>
  </si>
  <si>
    <t>18-ти квартирный жилой дом №50 ул. Ленина</t>
  </si>
  <si>
    <t xml:space="preserve">18-ти квартирный жилой дом №52, ул.Ленина </t>
  </si>
  <si>
    <t>90-о квартирный жилой дом №53, ул.Ленина</t>
  </si>
  <si>
    <t>18-ти квартирный жилой дом № 54, ул.Ленина</t>
  </si>
  <si>
    <t>60-ти квартирный жилой дом №55, ул.Ленина</t>
  </si>
  <si>
    <t>18-ти квартирный жилой дом №56, ул.Ленина</t>
  </si>
  <si>
    <t>58-ти квартирный жилой дом №57, ул.Ленина</t>
  </si>
  <si>
    <t>18-ти квартирный жилой дом №60, ул.Ленина</t>
  </si>
  <si>
    <t>18-ти квартирный жилой дом №62, ул.Ленина</t>
  </si>
  <si>
    <t>18-ти квартирный жилой дом № 64, ул.Ленина</t>
  </si>
  <si>
    <t>8-ми- квартирный жилой дом №3, ул.Октябрьская</t>
  </si>
  <si>
    <t>11-ти квартирный жилой дом №16, ул.Октябрьская</t>
  </si>
  <si>
    <t>12-ти квартирный жилой дом №2, пер. Предбазарный</t>
  </si>
  <si>
    <t>16-ти квартирный жилой дом №24, ул.Советская</t>
  </si>
  <si>
    <t>8-ми квартирный жилой дом №1, ул.Социалистическая</t>
  </si>
  <si>
    <t>80-ти квартирный жилой дом №3, ул.Социалистическая</t>
  </si>
  <si>
    <t>18-ти квартирный жилой дом № 5А, ул.Социалистическая</t>
  </si>
  <si>
    <t>18-ти квартирный жилой дом № 7А, ул.Социалистическая</t>
  </si>
  <si>
    <t>18-ти квартирный жилой дом №9, ул.Социалистическая</t>
  </si>
  <si>
    <t>79-ти квартирный жилой дом №11, ул.Социалистическая</t>
  </si>
  <si>
    <t xml:space="preserve">80-ти квартирный жилой дом №4, ул.Школьная </t>
  </si>
  <si>
    <t>18-ти квартирный жилой дом № 6, ул.Школьная</t>
  </si>
  <si>
    <t>Итого по многоквартирным жилым домам:</t>
  </si>
  <si>
    <t xml:space="preserve">8-ми- квартирный жилой дом №2А, ул.Марьинская </t>
  </si>
  <si>
    <t>60-ти квартирный жилой дом №33, ул. Ленина</t>
  </si>
  <si>
    <t>4-х квартирный жилой дом №37, ул. Ленина</t>
  </si>
  <si>
    <t>51- квартирный жилой дом № 25, ул. Красноармейская</t>
  </si>
  <si>
    <t>33-х квартирный жилой дом № 63, ул.Ленина</t>
  </si>
  <si>
    <t>12-ти квартирный жилой дом N 68, ул.Ленина</t>
  </si>
  <si>
    <t>площадь  газа</t>
  </si>
  <si>
    <t>площадь убир двор</t>
  </si>
  <si>
    <t xml:space="preserve">Освещение мест общего пользования </t>
  </si>
  <si>
    <t>Текущий ремонт инженерного оборудования ***</t>
  </si>
  <si>
    <t>Текущий ремонт конструктивных элементов ****</t>
  </si>
  <si>
    <t>Выборочн. ремонт кровли 180 кв.м - 62860,76р.;          Кап.рем. кровли 525 кв.м - 428300,0р.</t>
  </si>
  <si>
    <t xml:space="preserve">Установка козырьков - 13400р.;                              </t>
  </si>
  <si>
    <t>Установка дверного блока и козырька - 25000р.</t>
  </si>
  <si>
    <t>Установка 2-х дверных блоков - 37387,20р.</t>
  </si>
  <si>
    <t>Установка козырьков - 29080р.;                                       Установка 4-х дверных  блоков - 32000р.;                                  Замена перил - 59500р.</t>
  </si>
  <si>
    <t>Содержание аварийно- диспетчерской службы *</t>
  </si>
  <si>
    <t>Затраты по санитарному содержанию   **</t>
  </si>
  <si>
    <t xml:space="preserve">Затраты по управлению домами </t>
  </si>
  <si>
    <t>Всего:</t>
  </si>
  <si>
    <t xml:space="preserve">в т.ч. зарплата и отчисления ИТР </t>
  </si>
  <si>
    <t xml:space="preserve">Начисленно платы  за сод. жилья </t>
  </si>
  <si>
    <t xml:space="preserve">Собрано платы  за сод. жилья </t>
  </si>
  <si>
    <t xml:space="preserve">Прибыль/ убыток  (+/-) </t>
  </si>
  <si>
    <t>Всего затрат:</t>
  </si>
  <si>
    <t>№ п/п</t>
  </si>
  <si>
    <t>*- зарплата работников аварийно-диспетчерской службы, обязательные отчисления ЕСН, контроль технического состояния, поддержание работоспособности и исправности, наладка, регулировка, подготовка к сезонной эксплуатации инженерного оборудования, устранение незначительных неполадок.</t>
  </si>
  <si>
    <t>Итого по многоквартирным жилым домам п. Кардымово:</t>
  </si>
  <si>
    <t>8-ми квартирный жилой дом № 3 , ул. Магистральная</t>
  </si>
  <si>
    <t>8-ми квартирный жилой дом № 2 , ул. Магистральная</t>
  </si>
  <si>
    <t>8-ми квартирный жилой дом № 4 , ул. Магистральная</t>
  </si>
  <si>
    <t>8-ми квартирный жилой дом № 9 , ул. Магистральная</t>
  </si>
  <si>
    <t>8-ми квартирный жилой дом № 10 , ул. Магистральная</t>
  </si>
  <si>
    <t>8-ми квартирный жилой дом № 4, ул. Садовая</t>
  </si>
  <si>
    <t>8-ми квартирный жилой дом № 1, ул. Садовая</t>
  </si>
  <si>
    <t>8-ми квартирный жилой дом № 5, ул. Садовая</t>
  </si>
  <si>
    <t>8-ми квартирный жилой дом № 1, ул. Школьная</t>
  </si>
  <si>
    <t>8-ми квартирный жилой дом № 3, ул. Школьная</t>
  </si>
  <si>
    <t>8-ми квартирный жилой дом № 16, ул. Центральная</t>
  </si>
  <si>
    <t>8-ми квартирный жилой дом № 14, ул. Центральная</t>
  </si>
  <si>
    <t>16-ти квартирный жилой дом № 6/2, ул. Магистральная</t>
  </si>
  <si>
    <t>18-ти квартирный жилой дом № 7, ул. Магистральная</t>
  </si>
  <si>
    <t>18-ти квартирный жилой дом № 8, ул. Магистральная</t>
  </si>
  <si>
    <t>Всего по МКД, находящимся в управлении:</t>
  </si>
  <si>
    <t>Кап. ремонт кровли 838 кв.м - 399522р.;                            Установка 3-х дверн.блоков - 62700р.</t>
  </si>
  <si>
    <t>Кап. ремонт кровли 806 кв.м - 302134р.;                                                                      Установка 2-х  дверных блоков - 37387,20р.</t>
  </si>
  <si>
    <t>Кап. ремонт кровли 806 кв.м - 427924р.;                                                 Установка 2-х дверных блоков - 37387,20р.</t>
  </si>
  <si>
    <t>Кап. ремонт кровли 610 кв.м - 326703р.;                                  Установка 2-х дверных блоков - 26240р.</t>
  </si>
  <si>
    <t>Кап. ремонт кровли 389 кв.м - 184650р.;                                                                   Установка дверного блока - 18693,60р.</t>
  </si>
  <si>
    <t>Кап. ремонт кровли 1326 кв.м - 554212р.;                                Установка 4-х дверных   блоков - 62800р.;                               Ремонт межпанельных стыков 158п/м - 50503р.;                                    Установка коллективной антенны - 39000р.</t>
  </si>
  <si>
    <t>Кап. ремонт кровли 830 кв.м - 372270р.;                       Установка 3-х дверных блоков - 39000р.</t>
  </si>
  <si>
    <t>Установка железной двери с доводчиком-10900руб. Кап. ремонт кровли 362м² - 227533руб.</t>
  </si>
  <si>
    <t>Установка 3х железных дверей - 45000 руб</t>
  </si>
  <si>
    <t>Установка 2х железных дверей с доводч.- 27400 р.</t>
  </si>
  <si>
    <r>
      <t>Установка 2х железных дверей с доводч.- 27400р. Кап. ремонт кровли 380м</t>
    </r>
    <r>
      <rPr>
        <sz val="10"/>
        <rFont val="Calibri"/>
        <family val="2"/>
      </rPr>
      <t>²</t>
    </r>
    <r>
      <rPr>
        <sz val="10"/>
        <rFont val="Arial"/>
        <family val="2"/>
      </rPr>
      <t xml:space="preserve"> - 194539р.</t>
    </r>
  </si>
  <si>
    <t>***- виды работ: прочистка канализации, ремонт сетей внутренних  водопроводов холодного, горячего водоснабжения и отопления ,ремонт и замена запорной арматуры, ремонт внутридомового электрооборудования и др.</t>
  </si>
  <si>
    <t>каменка</t>
  </si>
  <si>
    <t xml:space="preserve"> Установка дверных 4-х  блоков - 30000р.                                    Ремонт межпанельных швов 450 м.п.   - 361180р.                         </t>
  </si>
  <si>
    <t>Установка дверного блока - 33350р.                                            Ремонт кровли 350 кв.м - 258270 р.</t>
  </si>
  <si>
    <t>Установка дверных 4-х  блоков - 30000р.                         Ремонт межпанельных швов 450 м.п. - 361180р.</t>
  </si>
  <si>
    <t xml:space="preserve">Установка дверных 4-х  блоков - 30000р.;                                                             Выборочный ремонт кровли 143 кв.м - 36528р.                        Ремонт межпанельных швов 450 п/м -361181руб.             Ремонт кровли  342 кв.м. - 402280 р.                </t>
  </si>
  <si>
    <t>Выборочный ремонт кровли 288 кв.м - 77680р.;                                                       Установка 3-х дверных блоков - 43410р.                                             Ремонт кровли 1094кв.м.- 816080р.</t>
  </si>
  <si>
    <t>Выборочный ремонт кровли 30 кв.м - 30100р.;                               Выборочный ремонт кровли 59 кв.м - 38330р                                        Замена 2-х дверных блоков - 28891р.                                   Ремонт кровли 622 кв.м.- 485580р.</t>
  </si>
  <si>
    <t>Установка 4-х дверных блоков - 92600р.                               Ремонт кровли козырьков балконов 3,6кв.м. - 5180р.</t>
  </si>
  <si>
    <t>Ремонт кровли 750 кв.м - 352885р.                                 Установка 3-х дверных блоков - 49800р</t>
  </si>
  <si>
    <t>Установка  4-х дверных блоков - 82100р.;                                               Выборочный ремонт кровли 350 кв.м - 80225р.;                                Ремонт межпанельных стыков 56 п/м - 17900р.                     Кап.ремнт кровли 1360,0м.2. - 1169264руб.</t>
  </si>
  <si>
    <t>Установка железной двери-  15000руб.                                            Замена козырька-  7590руб.                                                     Кап. ремонт кровли 365м² - 186768р.</t>
  </si>
  <si>
    <t xml:space="preserve"> </t>
  </si>
  <si>
    <t>Установка железных дверей - 36500 р.                                   Кап. ремонт кровли - 381189 р.</t>
  </si>
  <si>
    <t>Кап. ремонт кровли 1321кв.м - 640643р.;                                      Установка 4-х дверных блоков - 58000р.                                              Ремонт кровли козырьков балконов 3,6кв.м. - 3570р.</t>
  </si>
  <si>
    <t>Кап. ремонт кровли 1321кв.м - 606284р.;                         Установка 4-х  дверных блоков - 60000р.                                Ремонт межпанельных швов 1740 м.п  -1460670р.                 Ремонт кровли козырьков балконов 2,6кв.м. - 3490р.</t>
  </si>
  <si>
    <t>Установка 3-х дверных блоков - 39360р.;                             Кап. ремонт кровли 809 кв.м - 398400р.                                                                         Доработка дверей 3шт -  29700р.</t>
  </si>
  <si>
    <t>Установка козырька и 2-х  дверных блоков -39300р.                                     Ремонт кровли 609 кв.м. - 591490р.                                   Доработка дверей  2шт.-19800р.</t>
  </si>
  <si>
    <r>
      <t>Кап. ремонт кровли 767кв.м</t>
    </r>
    <r>
      <rPr>
        <sz val="10"/>
        <rFont val="Calibri"/>
        <family val="2"/>
      </rPr>
      <t xml:space="preserve"> -</t>
    </r>
    <r>
      <rPr>
        <sz val="10"/>
        <rFont val="Arial"/>
        <family val="2"/>
      </rPr>
      <t xml:space="preserve"> 485900р.;                              Замена 3-х дверных блоков - 40150р.                                                        Доработка дверей 1шт.- 6000р.</t>
    </r>
  </si>
  <si>
    <t>Кап. ремонт кровли 721 кв.м - 311810,49р.;                                          Замена дверного блока - 11400р.;                               Установка окон 3шт. -27291р.</t>
  </si>
  <si>
    <t>Кап. ремонт кровли 750 кв.м - 321000р.;                                  Установка дверного блока - 17000р.                                     Установка окон 3шт. -27291р</t>
  </si>
  <si>
    <t>Кап. ремонт кровли 730 кв.м - 330000р.;                                                                   Установка дверного блока - 17000р.                                       Установка окон 3шт. -27291р</t>
  </si>
  <si>
    <t>Кап. ремонт кровли 740 кв.м - 543200р.                                                                   Установка окон 3шт. -27291р</t>
  </si>
  <si>
    <t>Капитальный ремонт отмостки - 85393р.                                   Кап.ремонт кровли740кв.м. - 688433руб.                                                             Установка окон 3шт. -27291р</t>
  </si>
  <si>
    <t>Выборочный ремонт кровли 150кв.м. -111567руб.                                                Установка окон 1шт. -9097р</t>
  </si>
  <si>
    <t>Установка козырьков - 28000р.;                                              Ремонт крылец 2шт- 40070р.                                      Установка дверных блоков 2шт - 40000р.</t>
  </si>
  <si>
    <t>Выборочный ремонт кровли 160 кв.м - 55876,24р.;                   Кап.рем. кровли 529 кв.м - 430500,0</t>
  </si>
  <si>
    <t>Кап. ремонт кровли 1629 кв.м - 640571р.;                      Установка  5-ти дверных блоков - 56000р.                                           Замена доводчиков 2шт.-2000р.</t>
  </si>
  <si>
    <t>Кап. ремонт кровли 820 кв.м - 331900р.                             Установка 3-х дверных блоков - 49800р.                                               Замена доводчиков 2шт.- 2000р.</t>
  </si>
  <si>
    <t>Установка 2х железных дверей с доводч.- 27400 р.                                                Ремонт кровли  351кв.м. - 244510р.</t>
  </si>
  <si>
    <t>Установка железной двери с доводчиком 10900руб.                                                       Ремонт кровли  345 кв.м. - 298050р.</t>
  </si>
  <si>
    <t>Замена внутридомового водопровода 35мп-19988р.                               Ремонт межпанельных швов 260 кв.м.-194615руб.                                                    Установка  дверных блоков  4шт. - 61600р.</t>
  </si>
  <si>
    <t>Замена внутридомового водопровода 33мп-19571р.                                        Ремонт межпанельных швов 260 кв.м.  - 194615р.                                     Установка  дверных блоков  4шт. - 49600р.</t>
  </si>
  <si>
    <r>
      <t>Кап. ремонт кровли 390м</t>
    </r>
    <r>
      <rPr>
        <sz val="10"/>
        <rFont val="Calibri"/>
        <family val="2"/>
      </rPr>
      <t xml:space="preserve">² </t>
    </r>
    <r>
      <rPr>
        <sz val="10"/>
        <rFont val="Arial"/>
        <family val="2"/>
      </rPr>
      <t>- 237800р.                                                          Установка дверных блоков 2шт. - 43800р.                                        Установка окон 2шт. - 38850р.</t>
    </r>
  </si>
  <si>
    <r>
      <t>Установка 2х железных дверей - 30000 руб.                               Установка 2х железных козырьков  - 10000руб.                        Выборочный ремонт кровли  - 67673</t>
    </r>
    <r>
      <rPr>
        <sz val="11"/>
        <rFont val="Arial"/>
        <family val="2"/>
      </rPr>
      <t xml:space="preserve"> р.              </t>
    </r>
    <r>
      <rPr>
        <sz val="10"/>
        <rFont val="Arial"/>
        <family val="2"/>
      </rPr>
      <t xml:space="preserve">                                                   </t>
    </r>
  </si>
  <si>
    <t>Установка 3-х дверных блоков - 75900р.                                             Установка перил - 4500р.                                                     Ремонт межпанельных  швов 1305м.п. - 638823р.</t>
  </si>
  <si>
    <t>Установка дверного блока - 17000р.                                                        Установка окон 3шт. -27291р                                                         Ремонт отмостки 118 кв.м. -116115р.</t>
  </si>
  <si>
    <r>
      <t>Кап. ремонт кровли 342м</t>
    </r>
    <r>
      <rPr>
        <sz val="10"/>
        <rFont val="Calibri"/>
        <family val="2"/>
      </rPr>
      <t xml:space="preserve">² </t>
    </r>
    <r>
      <rPr>
        <sz val="10"/>
        <rFont val="Arial"/>
        <family val="2"/>
      </rPr>
      <t>- 323142р.                                                                Ремонт межпанельных швов 377 м.п. - 301191р.</t>
    </r>
  </si>
  <si>
    <t xml:space="preserve">Кап. ремонт кровли 287 м² - 155791р.                                                                      Ремонт межпанельных швов 388м.п. - 310206р. </t>
  </si>
  <si>
    <t>Установка металл. дверного блока-9000руб.                              Замена  козырька - 7200руб.                              Восстановление вент. шахт - 73187 руб.</t>
  </si>
  <si>
    <t xml:space="preserve">  </t>
  </si>
  <si>
    <t>Установка 2х металл. дверных блоков-24000руб .                                        Замена 2х козырьков - 13400руб.                                                              Замена 2х окннных блоков - 13400 руб.                                       Замена перилл 5м -14700руб.                                            Кап. ремонт кровли 414 кв.м.- 392338 руб.</t>
  </si>
  <si>
    <t>Установка 2х металл. дверных блоков-29000руб.                                                                                                                             Замена 2х козырьков - 14400руб.                                           Замена 2х окннных блоков - 13400 руб.                                     Кап. ремонт кровли 442,75 кв.м.- 387100 руб.</t>
  </si>
  <si>
    <t>Замена дверного блока - 21300р.                                           Замена доводчиков 2шт.-2000р.                                                               Установка двери в кв. № 21- 6780р.</t>
  </si>
  <si>
    <t>СОДЕРЖАНИЕ И РЕМОНТ МЕСТ ОБЩЕГО ПОЛЬЗОВАНИЯ МНОГОКВАРТИРНЫХ ДОМОВ</t>
  </si>
  <si>
    <t>АРЖ</t>
  </si>
  <si>
    <t>з п дворников</t>
  </si>
  <si>
    <t>площадь санит обслуж м2</t>
  </si>
  <si>
    <t>Березкино затраты по управ</t>
  </si>
  <si>
    <t>кардымово управление</t>
  </si>
  <si>
    <t>****- виды работ: очистка кровель от снега и наледи, выборочный ремонт кровель,остекление окон,  прочистка вентиляционных и дымовых каналов, ремонт крылец, отмосток, козырьков ,кровли, межпанельных швов, ремонт подъездов и др.</t>
  </si>
  <si>
    <t>**- заработная плата уборщиков мест общего пользования, обязательные отчисления ЕСН,социальные выплаты, спецодежда, инвентарь, подвоз песка.</t>
  </si>
  <si>
    <r>
      <t>Общая площадь, м</t>
    </r>
    <r>
      <rPr>
        <vertAlign val="superscript"/>
        <sz val="11"/>
        <rFont val="Times New Roman"/>
        <family val="1"/>
      </rPr>
      <t>2</t>
    </r>
  </si>
  <si>
    <t>Установка 4-х дверных блоков - 95240р.                                Софинансирование  стоимости работ по капитальному ремонту - 553322руб.</t>
  </si>
  <si>
    <t>6-ти- квартирный жилой дом №27, ул. Красноармейская</t>
  </si>
  <si>
    <t>6-ти- квартирный жилой дом №29, ул. Красноармейская</t>
  </si>
  <si>
    <t xml:space="preserve">ОДН Березкинское </t>
  </si>
  <si>
    <t>12-ти квартирный жилой дом № 31 , ул. Льнозаводская, д.Пищулино</t>
  </si>
  <si>
    <t>18-ти квартирный жилой дом № 15 , ул. Школа-интернат, д.Пищулино</t>
  </si>
  <si>
    <t>18-ти квартирный жилой дом № 14 , ул. Школа-интернат, д.Пищулино</t>
  </si>
  <si>
    <t>Кардымово</t>
  </si>
  <si>
    <t>Сведения о выполненных работах по капитальному ремонту конструктивных элементов за период с 01.01.2008г. по 30.09.2014г.</t>
  </si>
  <si>
    <t>S ОДН по электр Кардымово</t>
  </si>
  <si>
    <t>ОТЧЕТ ПО МНОГОКВАРТИРНЫМ ДОМАМ ЗА 2019 Г.</t>
  </si>
  <si>
    <t>з/п Каменское с\п по обслуживанию Голозов</t>
  </si>
  <si>
    <t>Диагностика ВДГО</t>
  </si>
  <si>
    <t>Техническое обслуживание фасадных и внутренних газопроводов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</si>
</sst>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000"/>
    <numFmt numFmtId="174" formatCode="0.0000000"/>
    <numFmt numFmtId="175" formatCode="0.00000"/>
    <numFmt numFmtId="176" formatCode="0.0000"/>
    <numFmt numFmtId="177" formatCode="0.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[$-FC19]d\ mmmm\ yyyy\ &quot;г.&quot;"/>
  </numFmts>
  <fonts count="56">
    <font>
      <sz val="10"/>
      <name val="Arial"/>
      <family val="0"/>
    </font>
    <font>
      <sz val="11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0"/>
      <name val="Calibri"/>
      <family val="2"/>
    </font>
    <font>
      <sz val="11"/>
      <name val="Arial"/>
      <family val="2"/>
    </font>
    <font>
      <vertAlign val="superscript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"/>
      <family val="2"/>
    </font>
    <font>
      <sz val="10"/>
      <color indexed="9"/>
      <name val="Times New Roman"/>
      <family val="1"/>
    </font>
    <font>
      <b/>
      <sz val="22"/>
      <color indexed="8"/>
      <name val="Times New Roman"/>
      <family val="1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"/>
      <family val="2"/>
    </font>
    <font>
      <sz val="10"/>
      <color theme="0"/>
      <name val="Times New Roman"/>
      <family val="1"/>
    </font>
    <font>
      <b/>
      <sz val="22"/>
      <color theme="1"/>
      <name val="Times New Roman"/>
      <family val="1"/>
    </font>
    <font>
      <sz val="9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medium"/>
    </border>
  </borders>
  <cellStyleXfs count="57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109">
    <xf numFmtId="0" fontId="0" fillId="0" borderId="0" xfId="0" applyNumberFormat="1" applyFont="1" applyFill="1" applyBorder="1" applyAlignment="1" applyProtection="1">
      <alignment vertical="top"/>
      <protection/>
    </xf>
    <xf numFmtId="0" fontId="0" fillId="33" borderId="0" xfId="0" applyNumberFormat="1" applyFont="1" applyFill="1" applyBorder="1" applyAlignment="1" applyProtection="1">
      <alignment vertical="top"/>
      <protection/>
    </xf>
    <xf numFmtId="2" fontId="8" fillId="33" borderId="10" xfId="0" applyNumberFormat="1" applyFont="1" applyFill="1" applyBorder="1" applyAlignment="1" applyProtection="1">
      <alignment horizontal="center" vertical="top"/>
      <protection/>
    </xf>
    <xf numFmtId="2" fontId="6" fillId="33" borderId="10" xfId="0" applyNumberFormat="1" applyFont="1" applyFill="1" applyBorder="1" applyAlignment="1" applyProtection="1">
      <alignment horizontal="center" vertical="top"/>
      <protection/>
    </xf>
    <xf numFmtId="0" fontId="1" fillId="33" borderId="11" xfId="0" applyNumberFormat="1" applyFont="1" applyFill="1" applyBorder="1" applyAlignment="1" applyProtection="1">
      <alignment horizontal="center" vertical="top"/>
      <protection/>
    </xf>
    <xf numFmtId="0" fontId="7" fillId="33" borderId="10" xfId="0" applyNumberFormat="1" applyFont="1" applyFill="1" applyBorder="1" applyAlignment="1" applyProtection="1">
      <alignment horizontal="left" vertical="top"/>
      <protection/>
    </xf>
    <xf numFmtId="0" fontId="1" fillId="33" borderId="10" xfId="0" applyNumberFormat="1" applyFont="1" applyFill="1" applyBorder="1" applyAlignment="1" applyProtection="1">
      <alignment horizontal="center" vertical="top"/>
      <protection/>
    </xf>
    <xf numFmtId="2" fontId="1" fillId="33" borderId="10" xfId="0" applyNumberFormat="1" applyFont="1" applyFill="1" applyBorder="1" applyAlignment="1" applyProtection="1">
      <alignment horizontal="center" vertical="top"/>
      <protection/>
    </xf>
    <xf numFmtId="2" fontId="1" fillId="33" borderId="10" xfId="0" applyNumberFormat="1" applyFont="1" applyFill="1" applyBorder="1" applyAlignment="1" applyProtection="1">
      <alignment horizontal="center" vertical="top"/>
      <protection/>
    </xf>
    <xf numFmtId="172" fontId="0" fillId="33" borderId="12" xfId="0" applyNumberFormat="1" applyFont="1" applyFill="1" applyBorder="1" applyAlignment="1" applyProtection="1">
      <alignment horizontal="left" vertical="center" wrapText="1"/>
      <protection/>
    </xf>
    <xf numFmtId="0" fontId="0" fillId="33" borderId="0" xfId="0" applyNumberFormat="1" applyFont="1" applyFill="1" applyBorder="1" applyAlignment="1" applyProtection="1">
      <alignment vertical="top"/>
      <protection/>
    </xf>
    <xf numFmtId="0" fontId="4" fillId="33" borderId="13" xfId="0" applyNumberFormat="1" applyFont="1" applyFill="1" applyBorder="1" applyAlignment="1" applyProtection="1">
      <alignment horizontal="center" vertical="top"/>
      <protection/>
    </xf>
    <xf numFmtId="2" fontId="5" fillId="33" borderId="10" xfId="0" applyNumberFormat="1" applyFont="1" applyFill="1" applyBorder="1" applyAlignment="1" applyProtection="1">
      <alignment horizontal="center" vertical="top"/>
      <protection/>
    </xf>
    <xf numFmtId="2" fontId="1" fillId="33" borderId="14" xfId="0" applyNumberFormat="1" applyFont="1" applyFill="1" applyBorder="1" applyAlignment="1" applyProtection="1">
      <alignment horizontal="center" vertical="top"/>
      <protection/>
    </xf>
    <xf numFmtId="0" fontId="4" fillId="33" borderId="15" xfId="0" applyNumberFormat="1" applyFont="1" applyFill="1" applyBorder="1" applyAlignment="1" applyProtection="1">
      <alignment horizontal="center" vertical="top"/>
      <protection/>
    </xf>
    <xf numFmtId="0" fontId="1" fillId="33" borderId="10" xfId="0" applyNumberFormat="1" applyFont="1" applyFill="1" applyBorder="1" applyAlignment="1" applyProtection="1">
      <alignment horizontal="center" vertical="top"/>
      <protection/>
    </xf>
    <xf numFmtId="0" fontId="1" fillId="33" borderId="16" xfId="0" applyNumberFormat="1" applyFont="1" applyFill="1" applyBorder="1" applyAlignment="1" applyProtection="1">
      <alignment horizontal="center" vertical="top"/>
      <protection/>
    </xf>
    <xf numFmtId="0" fontId="7" fillId="33" borderId="17" xfId="0" applyNumberFormat="1" applyFont="1" applyFill="1" applyBorder="1" applyAlignment="1" applyProtection="1">
      <alignment horizontal="left" vertical="top"/>
      <protection/>
    </xf>
    <xf numFmtId="0" fontId="1" fillId="33" borderId="17" xfId="0" applyNumberFormat="1" applyFont="1" applyFill="1" applyBorder="1" applyAlignment="1" applyProtection="1">
      <alignment horizontal="center" vertical="top"/>
      <protection/>
    </xf>
    <xf numFmtId="172" fontId="1" fillId="33" borderId="17" xfId="0" applyNumberFormat="1" applyFont="1" applyFill="1" applyBorder="1" applyAlignment="1" applyProtection="1">
      <alignment horizontal="center" vertical="top"/>
      <protection/>
    </xf>
    <xf numFmtId="0" fontId="1" fillId="33" borderId="11" xfId="0" applyNumberFormat="1" applyFont="1" applyFill="1" applyBorder="1" applyAlignment="1" applyProtection="1">
      <alignment horizontal="center" vertical="top"/>
      <protection/>
    </xf>
    <xf numFmtId="172" fontId="0" fillId="33" borderId="12" xfId="0" applyNumberFormat="1" applyFill="1" applyBorder="1" applyAlignment="1" applyProtection="1">
      <alignment horizontal="left" vertical="center" wrapText="1"/>
      <protection/>
    </xf>
    <xf numFmtId="0" fontId="0" fillId="33" borderId="0" xfId="0" applyNumberFormat="1" applyFont="1" applyFill="1" applyBorder="1" applyAlignment="1" applyProtection="1">
      <alignment horizontal="left" vertical="top"/>
      <protection/>
    </xf>
    <xf numFmtId="172" fontId="1" fillId="33" borderId="10" xfId="0" applyNumberFormat="1" applyFont="1" applyFill="1" applyBorder="1" applyAlignment="1" applyProtection="1">
      <alignment horizontal="center" vertical="top"/>
      <protection/>
    </xf>
    <xf numFmtId="0" fontId="7" fillId="33" borderId="10" xfId="0" applyNumberFormat="1" applyFont="1" applyFill="1" applyBorder="1" applyAlignment="1" applyProtection="1">
      <alignment vertical="top"/>
      <protection/>
    </xf>
    <xf numFmtId="0" fontId="0" fillId="33" borderId="0" xfId="0" applyNumberFormat="1" applyFont="1" applyFill="1" applyBorder="1" applyAlignment="1" applyProtection="1">
      <alignment horizontal="left" vertical="top"/>
      <protection/>
    </xf>
    <xf numFmtId="0" fontId="7" fillId="33" borderId="10" xfId="0" applyNumberFormat="1" applyFont="1" applyFill="1" applyBorder="1" applyAlignment="1" applyProtection="1">
      <alignment horizontal="left" vertical="top" wrapText="1"/>
      <protection/>
    </xf>
    <xf numFmtId="0" fontId="7" fillId="33" borderId="10" xfId="0" applyNumberFormat="1" applyFont="1" applyFill="1" applyBorder="1" applyAlignment="1" applyProtection="1">
      <alignment vertical="top" wrapText="1"/>
      <protection/>
    </xf>
    <xf numFmtId="0" fontId="5" fillId="33" borderId="10" xfId="0" applyNumberFormat="1" applyFont="1" applyFill="1" applyBorder="1" applyAlignment="1" applyProtection="1">
      <alignment horizontal="center" vertical="top"/>
      <protection/>
    </xf>
    <xf numFmtId="172" fontId="1" fillId="33" borderId="10" xfId="0" applyNumberFormat="1" applyFont="1" applyFill="1" applyBorder="1" applyAlignment="1" applyProtection="1">
      <alignment horizontal="center" vertical="top"/>
      <protection/>
    </xf>
    <xf numFmtId="0" fontId="4" fillId="33" borderId="18" xfId="0" applyNumberFormat="1" applyFont="1" applyFill="1" applyBorder="1" applyAlignment="1" applyProtection="1">
      <alignment horizontal="center" vertical="top"/>
      <protection/>
    </xf>
    <xf numFmtId="0" fontId="4" fillId="33" borderId="19" xfId="0" applyNumberFormat="1" applyFont="1" applyFill="1" applyBorder="1" applyAlignment="1" applyProtection="1">
      <alignment horizontal="center" vertical="top"/>
      <protection/>
    </xf>
    <xf numFmtId="0" fontId="0" fillId="33" borderId="0" xfId="0" applyNumberFormat="1" applyFont="1" applyFill="1" applyBorder="1" applyAlignment="1" applyProtection="1">
      <alignment horizontal="left" vertical="top"/>
      <protection/>
    </xf>
    <xf numFmtId="0" fontId="4" fillId="33" borderId="11" xfId="0" applyNumberFormat="1" applyFont="1" applyFill="1" applyBorder="1" applyAlignment="1" applyProtection="1">
      <alignment horizontal="left" vertical="top"/>
      <protection/>
    </xf>
    <xf numFmtId="0" fontId="5" fillId="33" borderId="10" xfId="0" applyNumberFormat="1" applyFont="1" applyFill="1" applyBorder="1" applyAlignment="1" applyProtection="1">
      <alignment vertical="top"/>
      <protection/>
    </xf>
    <xf numFmtId="0" fontId="6" fillId="33" borderId="10" xfId="0" applyNumberFormat="1" applyFont="1" applyFill="1" applyBorder="1" applyAlignment="1" applyProtection="1">
      <alignment horizontal="center" vertical="top"/>
      <protection/>
    </xf>
    <xf numFmtId="172" fontId="6" fillId="33" borderId="10" xfId="0" applyNumberFormat="1" applyFont="1" applyFill="1" applyBorder="1" applyAlignment="1" applyProtection="1">
      <alignment horizontal="center" vertical="top"/>
      <protection/>
    </xf>
    <xf numFmtId="0" fontId="0" fillId="33" borderId="20" xfId="0" applyNumberFormat="1" applyFont="1" applyFill="1" applyBorder="1" applyAlignment="1" applyProtection="1">
      <alignment vertical="top"/>
      <protection/>
    </xf>
    <xf numFmtId="0" fontId="4" fillId="33" borderId="21" xfId="0" applyNumberFormat="1" applyFont="1" applyFill="1" applyBorder="1" applyAlignment="1" applyProtection="1">
      <alignment horizontal="left" vertical="top"/>
      <protection/>
    </xf>
    <xf numFmtId="0" fontId="5" fillId="33" borderId="22" xfId="0" applyNumberFormat="1" applyFont="1" applyFill="1" applyBorder="1" applyAlignment="1" applyProtection="1">
      <alignment vertical="top"/>
      <protection/>
    </xf>
    <xf numFmtId="0" fontId="6" fillId="33" borderId="22" xfId="0" applyNumberFormat="1" applyFont="1" applyFill="1" applyBorder="1" applyAlignment="1" applyProtection="1">
      <alignment horizontal="center" vertical="top"/>
      <protection/>
    </xf>
    <xf numFmtId="2" fontId="6" fillId="33" borderId="22" xfId="0" applyNumberFormat="1" applyFont="1" applyFill="1" applyBorder="1" applyAlignment="1" applyProtection="1">
      <alignment horizontal="center" vertical="top"/>
      <protection/>
    </xf>
    <xf numFmtId="0" fontId="0" fillId="33" borderId="23" xfId="0" applyNumberFormat="1" applyFont="1" applyFill="1" applyBorder="1" applyAlignment="1" applyProtection="1">
      <alignment vertical="top"/>
      <protection/>
    </xf>
    <xf numFmtId="0" fontId="52" fillId="34" borderId="0" xfId="0" applyNumberFormat="1" applyFont="1" applyFill="1" applyBorder="1" applyAlignment="1" applyProtection="1">
      <alignment vertical="top"/>
      <protection/>
    </xf>
    <xf numFmtId="0" fontId="52" fillId="33" borderId="0" xfId="0" applyNumberFormat="1" applyFont="1" applyFill="1" applyBorder="1" applyAlignment="1" applyProtection="1">
      <alignment vertical="top"/>
      <protection/>
    </xf>
    <xf numFmtId="0" fontId="53" fillId="33" borderId="0" xfId="0" applyNumberFormat="1" applyFont="1" applyFill="1" applyBorder="1" applyAlignment="1" applyProtection="1">
      <alignment vertical="top"/>
      <protection/>
    </xf>
    <xf numFmtId="0" fontId="52" fillId="33" borderId="0" xfId="0" applyNumberFormat="1" applyFont="1" applyFill="1" applyBorder="1" applyAlignment="1" applyProtection="1">
      <alignment vertical="top" wrapText="1"/>
      <protection/>
    </xf>
    <xf numFmtId="0" fontId="4" fillId="33" borderId="24" xfId="0" applyNumberFormat="1" applyFont="1" applyFill="1" applyBorder="1" applyAlignment="1" applyProtection="1">
      <alignment horizontal="center" vertical="top"/>
      <protection/>
    </xf>
    <xf numFmtId="0" fontId="4" fillId="33" borderId="25" xfId="0" applyNumberFormat="1" applyFont="1" applyFill="1" applyBorder="1" applyAlignment="1" applyProtection="1">
      <alignment horizontal="center" vertical="top"/>
      <protection/>
    </xf>
    <xf numFmtId="2" fontId="6" fillId="33" borderId="1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horizontal="left"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172" fontId="2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ill="1" applyBorder="1" applyAlignment="1" applyProtection="1">
      <alignment horizontal="left" vertical="top"/>
      <protection/>
    </xf>
    <xf numFmtId="0" fontId="0" fillId="0" borderId="0" xfId="0" applyNumberFormat="1" applyFont="1" applyFill="1" applyBorder="1" applyAlignment="1" applyProtection="1">
      <alignment horizontal="left" vertical="top"/>
      <protection/>
    </xf>
    <xf numFmtId="0" fontId="3" fillId="0" borderId="0" xfId="0" applyNumberFormat="1" applyFont="1" applyFill="1" applyBorder="1" applyAlignment="1" applyProtection="1">
      <alignment horizontal="left" vertical="top" wrapText="1" indent="2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1" fillId="33" borderId="26" xfId="0" applyNumberFormat="1" applyFont="1" applyFill="1" applyBorder="1" applyAlignment="1" applyProtection="1">
      <alignment horizontal="center" vertical="center" wrapText="1"/>
      <protection/>
    </xf>
    <xf numFmtId="0" fontId="53" fillId="34" borderId="0" xfId="0" applyNumberFormat="1" applyFont="1" applyFill="1" applyBorder="1" applyAlignment="1" applyProtection="1">
      <alignment vertical="top"/>
      <protection/>
    </xf>
    <xf numFmtId="0" fontId="52" fillId="34" borderId="0" xfId="0" applyNumberFormat="1" applyFont="1" applyFill="1" applyBorder="1" applyAlignment="1" applyProtection="1">
      <alignment vertical="top" wrapText="1"/>
      <protection/>
    </xf>
    <xf numFmtId="0" fontId="0" fillId="33" borderId="0" xfId="0" applyNumberFormat="1" applyFont="1" applyFill="1" applyBorder="1" applyAlignment="1" applyProtection="1">
      <alignment vertical="top"/>
      <protection/>
    </xf>
    <xf numFmtId="0" fontId="53" fillId="21" borderId="0" xfId="0" applyNumberFormat="1" applyFont="1" applyFill="1" applyBorder="1" applyAlignment="1" applyProtection="1">
      <alignment vertical="top"/>
      <protection/>
    </xf>
    <xf numFmtId="0" fontId="53" fillId="21" borderId="0" xfId="0" applyNumberFormat="1" applyFont="1" applyFill="1" applyBorder="1" applyAlignment="1" applyProtection="1">
      <alignment vertical="top" wrapText="1"/>
      <protection/>
    </xf>
    <xf numFmtId="0" fontId="0" fillId="35" borderId="0" xfId="0" applyNumberFormat="1" applyFont="1" applyFill="1" applyBorder="1" applyAlignment="1" applyProtection="1">
      <alignment vertical="top"/>
      <protection/>
    </xf>
    <xf numFmtId="0" fontId="4" fillId="33" borderId="27" xfId="0" applyNumberFormat="1" applyFont="1" applyFill="1" applyBorder="1" applyAlignment="1" applyProtection="1">
      <alignment horizontal="center" vertical="top"/>
      <protection/>
    </xf>
    <xf numFmtId="2" fontId="1" fillId="33" borderId="28" xfId="0" applyNumberFormat="1" applyFont="1" applyFill="1" applyBorder="1" applyAlignment="1" applyProtection="1">
      <alignment horizontal="center" vertical="top"/>
      <protection/>
    </xf>
    <xf numFmtId="2" fontId="1" fillId="33" borderId="29" xfId="0" applyNumberFormat="1" applyFont="1" applyFill="1" applyBorder="1" applyAlignment="1" applyProtection="1">
      <alignment horizontal="center" vertical="top"/>
      <protection/>
    </xf>
    <xf numFmtId="0" fontId="4" fillId="33" borderId="30" xfId="0" applyNumberFormat="1" applyFont="1" applyFill="1" applyBorder="1" applyAlignment="1" applyProtection="1">
      <alignment horizontal="center" vertical="top"/>
      <protection/>
    </xf>
    <xf numFmtId="0" fontId="4" fillId="33" borderId="31" xfId="0" applyNumberFormat="1" applyFont="1" applyFill="1" applyBorder="1" applyAlignment="1" applyProtection="1">
      <alignment horizontal="center" vertical="top"/>
      <protection/>
    </xf>
    <xf numFmtId="2" fontId="6" fillId="33" borderId="29" xfId="0" applyNumberFormat="1" applyFont="1" applyFill="1" applyBorder="1" applyAlignment="1" applyProtection="1">
      <alignment horizontal="center" vertical="top"/>
      <protection/>
    </xf>
    <xf numFmtId="172" fontId="0" fillId="33" borderId="32" xfId="0" applyNumberFormat="1" applyFont="1" applyFill="1" applyBorder="1" applyAlignment="1" applyProtection="1">
      <alignment horizontal="left" vertical="center" wrapText="1"/>
      <protection/>
    </xf>
    <xf numFmtId="0" fontId="0" fillId="35" borderId="0" xfId="0" applyNumberFormat="1" applyFont="1" applyFill="1" applyBorder="1" applyAlignment="1" applyProtection="1">
      <alignment vertical="top" wrapText="1"/>
      <protection/>
    </xf>
    <xf numFmtId="0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4" fillId="33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33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NumberFormat="1" applyFont="1" applyFill="1" applyBorder="1" applyAlignment="1" applyProtection="1">
      <alignment horizontal="left" vertical="top" wrapText="1"/>
      <protection/>
    </xf>
    <xf numFmtId="0" fontId="1" fillId="33" borderId="26" xfId="0" applyNumberFormat="1" applyFont="1" applyFill="1" applyBorder="1" applyAlignment="1" applyProtection="1">
      <alignment horizontal="center" vertical="center" wrapText="1"/>
      <protection/>
    </xf>
    <xf numFmtId="0" fontId="1" fillId="33" borderId="34" xfId="0" applyNumberFormat="1" applyFont="1" applyFill="1" applyBorder="1" applyAlignment="1" applyProtection="1">
      <alignment horizontal="center" vertical="center" wrapText="1"/>
      <protection/>
    </xf>
    <xf numFmtId="0" fontId="1" fillId="33" borderId="35" xfId="0" applyNumberFormat="1" applyFont="1" applyFill="1" applyBorder="1" applyAlignment="1" applyProtection="1">
      <alignment horizontal="center" vertical="center" wrapText="1"/>
      <protection/>
    </xf>
    <xf numFmtId="0" fontId="1" fillId="33" borderId="36" xfId="0" applyNumberFormat="1" applyFont="1" applyFill="1" applyBorder="1" applyAlignment="1" applyProtection="1">
      <alignment horizontal="center" vertical="center" wrapText="1"/>
      <protection/>
    </xf>
    <xf numFmtId="0" fontId="54" fillId="36" borderId="27" xfId="0" applyNumberFormat="1" applyFont="1" applyFill="1" applyBorder="1" applyAlignment="1" applyProtection="1">
      <alignment horizontal="center" vertical="top"/>
      <protection/>
    </xf>
    <xf numFmtId="0" fontId="54" fillId="36" borderId="37" xfId="0" applyNumberFormat="1" applyFont="1" applyFill="1" applyBorder="1" applyAlignment="1" applyProtection="1">
      <alignment horizontal="center" vertical="top"/>
      <protection/>
    </xf>
    <xf numFmtId="0" fontId="4" fillId="0" borderId="38" xfId="0" applyNumberFormat="1" applyFont="1" applyFill="1" applyBorder="1" applyAlignment="1" applyProtection="1">
      <alignment horizontal="center" vertical="center" wrapText="1"/>
      <protection/>
    </xf>
    <xf numFmtId="0" fontId="4" fillId="0" borderId="39" xfId="0" applyNumberFormat="1" applyFont="1" applyFill="1" applyBorder="1" applyAlignment="1" applyProtection="1">
      <alignment horizontal="center" vertical="center" wrapText="1"/>
      <protection/>
    </xf>
    <xf numFmtId="0" fontId="1" fillId="33" borderId="19" xfId="0" applyNumberFormat="1" applyFont="1" applyFill="1" applyBorder="1" applyAlignment="1" applyProtection="1">
      <alignment horizontal="center" vertical="center" wrapText="1"/>
      <protection/>
    </xf>
    <xf numFmtId="0" fontId="1" fillId="33" borderId="40" xfId="0" applyNumberFormat="1" applyFont="1" applyFill="1" applyBorder="1" applyAlignment="1" applyProtection="1">
      <alignment horizontal="center" vertical="center" wrapText="1"/>
      <protection/>
    </xf>
    <xf numFmtId="0" fontId="1" fillId="33" borderId="14" xfId="0" applyNumberFormat="1" applyFont="1" applyFill="1" applyBorder="1" applyAlignment="1" applyProtection="1">
      <alignment horizontal="center" vertical="center" wrapText="1"/>
      <protection/>
    </xf>
    <xf numFmtId="0" fontId="55" fillId="33" borderId="29" xfId="0" applyNumberFormat="1" applyFont="1" applyFill="1" applyBorder="1" applyAlignment="1" applyProtection="1">
      <alignment horizontal="center" vertical="top"/>
      <protection/>
    </xf>
    <xf numFmtId="0" fontId="55" fillId="33" borderId="41" xfId="0" applyNumberFormat="1" applyFont="1" applyFill="1" applyBorder="1" applyAlignment="1" applyProtection="1">
      <alignment horizontal="center" vertical="top"/>
      <protection/>
    </xf>
    <xf numFmtId="0" fontId="55" fillId="33" borderId="42" xfId="0" applyNumberFormat="1" applyFont="1" applyFill="1" applyBorder="1" applyAlignment="1" applyProtection="1">
      <alignment horizontal="center" vertical="top"/>
      <protection/>
    </xf>
    <xf numFmtId="0" fontId="55" fillId="33" borderId="28" xfId="0" applyNumberFormat="1" applyFont="1" applyFill="1" applyBorder="1" applyAlignment="1" applyProtection="1">
      <alignment horizontal="center" vertical="top"/>
      <protection/>
    </xf>
    <xf numFmtId="0" fontId="1" fillId="33" borderId="43" xfId="0" applyNumberFormat="1" applyFont="1" applyFill="1" applyBorder="1" applyAlignment="1" applyProtection="1">
      <alignment horizontal="center" vertical="center" wrapText="1"/>
      <protection/>
    </xf>
    <xf numFmtId="0" fontId="1" fillId="33" borderId="44" xfId="0" applyNumberFormat="1" applyFont="1" applyFill="1" applyBorder="1" applyAlignment="1" applyProtection="1">
      <alignment horizontal="center" vertical="center" wrapText="1"/>
      <protection/>
    </xf>
    <xf numFmtId="2" fontId="5" fillId="33" borderId="17" xfId="0" applyNumberFormat="1" applyFont="1" applyFill="1" applyBorder="1" applyAlignment="1" applyProtection="1">
      <alignment horizontal="center" vertical="top"/>
      <protection/>
    </xf>
    <xf numFmtId="0" fontId="0" fillId="33" borderId="0" xfId="0" applyNumberFormat="1" applyFont="1" applyFill="1" applyBorder="1" applyAlignment="1" applyProtection="1">
      <alignment vertical="center" wrapText="1"/>
      <protection/>
    </xf>
    <xf numFmtId="0" fontId="52" fillId="33" borderId="0" xfId="0" applyNumberFormat="1" applyFont="1" applyFill="1" applyBorder="1" applyAlignment="1" applyProtection="1">
      <alignment horizontal="center" vertical="center" wrapText="1"/>
      <protection/>
    </xf>
    <xf numFmtId="2" fontId="0" fillId="33" borderId="0" xfId="0" applyNumberFormat="1" applyFont="1" applyFill="1" applyBorder="1" applyAlignment="1" applyProtection="1">
      <alignment vertical="top"/>
      <protection/>
    </xf>
    <xf numFmtId="0" fontId="1" fillId="33" borderId="45" xfId="0" applyNumberFormat="1" applyFont="1" applyFill="1" applyBorder="1" applyAlignment="1" applyProtection="1">
      <alignment horizontal="center" vertical="center" wrapText="1"/>
      <protection/>
    </xf>
    <xf numFmtId="0" fontId="1" fillId="33" borderId="46" xfId="0" applyNumberFormat="1" applyFont="1" applyFill="1" applyBorder="1" applyAlignment="1" applyProtection="1">
      <alignment horizontal="center" vertical="center" wrapText="1"/>
      <protection/>
    </xf>
    <xf numFmtId="0" fontId="4" fillId="33" borderId="47" xfId="0" applyNumberFormat="1" applyFont="1" applyFill="1" applyBorder="1" applyAlignment="1" applyProtection="1">
      <alignment horizontal="center" vertical="top"/>
      <protection/>
    </xf>
    <xf numFmtId="2" fontId="1" fillId="33" borderId="17" xfId="0" applyNumberFormat="1" applyFont="1" applyFill="1" applyBorder="1" applyAlignment="1" applyProtection="1">
      <alignment horizontal="center" vertical="top"/>
      <protection/>
    </xf>
    <xf numFmtId="2" fontId="1" fillId="33" borderId="29" xfId="0" applyNumberFormat="1" applyFont="1" applyFill="1" applyBorder="1" applyAlignment="1" applyProtection="1">
      <alignment horizontal="center" vertical="top" wrapText="1"/>
      <protection/>
    </xf>
    <xf numFmtId="2" fontId="1" fillId="33" borderId="29" xfId="0" applyNumberFormat="1" applyFont="1" applyFill="1" applyBorder="1" applyAlignment="1" applyProtection="1">
      <alignment horizontal="center" vertical="top"/>
      <protection/>
    </xf>
    <xf numFmtId="2" fontId="1" fillId="33" borderId="28" xfId="0" applyNumberFormat="1" applyFont="1" applyFill="1" applyBorder="1" applyAlignment="1" applyProtection="1">
      <alignment horizontal="center" vertical="top"/>
      <protection/>
    </xf>
    <xf numFmtId="2" fontId="1" fillId="33" borderId="10" xfId="0" applyNumberFormat="1" applyFont="1" applyFill="1" applyBorder="1" applyAlignment="1" applyProtection="1">
      <alignment horizontal="center" vertical="top" wrapText="1"/>
      <protection/>
    </xf>
    <xf numFmtId="2" fontId="1" fillId="33" borderId="10" xfId="0" applyNumberFormat="1" applyFont="1" applyFill="1" applyBorder="1" applyAlignment="1" applyProtection="1">
      <alignment horizontal="center" vertical="top" wrapText="1"/>
      <protection/>
    </xf>
  </cellXfs>
  <cellStyles count="4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Плохой" xfId="51"/>
    <cellStyle name="Пояснение" xfId="52"/>
    <cellStyle name="Примечание" xfId="53"/>
    <cellStyle name="Связанная ячейка" xfId="54"/>
    <cellStyle name="Текст предупреждения" xfId="55"/>
    <cellStyle name="Хороший" xfId="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8"/>
  <sheetViews>
    <sheetView tabSelected="1" zoomScaleSheetLayoutView="100" workbookViewId="0" topLeftCell="K71">
      <selection activeCell="R81" sqref="R81"/>
    </sheetView>
  </sheetViews>
  <sheetFormatPr defaultColWidth="9.140625" defaultRowHeight="52.5" customHeight="1"/>
  <cols>
    <col min="1" max="1" width="6.8515625" style="0" customWidth="1"/>
    <col min="2" max="2" width="60.140625" style="0" customWidth="1"/>
    <col min="3" max="3" width="14.140625" style="0" customWidth="1"/>
    <col min="4" max="4" width="12.140625" style="0" customWidth="1"/>
    <col min="5" max="8" width="17.421875" style="10" customWidth="1"/>
    <col min="9" max="14" width="17.421875" style="1" customWidth="1"/>
    <col min="15" max="16" width="17.421875" style="63" customWidth="1"/>
    <col min="17" max="17" width="17.421875" style="0" customWidth="1"/>
    <col min="18" max="18" width="40.57421875" style="0" customWidth="1"/>
    <col min="19" max="19" width="67.421875" style="0" customWidth="1"/>
  </cols>
  <sheetData>
    <row r="1" spans="4:16" s="43" customFormat="1" ht="24" customHeight="1" hidden="1">
      <c r="D1" s="64"/>
      <c r="E1" s="10"/>
      <c r="F1" s="10"/>
      <c r="G1" s="44" t="s">
        <v>46</v>
      </c>
      <c r="H1" s="44"/>
      <c r="I1" s="44"/>
      <c r="J1" s="44" t="s">
        <v>45</v>
      </c>
      <c r="K1" s="44"/>
      <c r="N1" s="10"/>
      <c r="O1" s="10"/>
      <c r="P1" s="44"/>
    </row>
    <row r="2" spans="4:16" s="43" customFormat="1" ht="30.75" customHeight="1" hidden="1">
      <c r="D2" s="64"/>
      <c r="E2" s="10"/>
      <c r="F2" s="10"/>
      <c r="G2" s="44"/>
      <c r="H2" s="44"/>
      <c r="I2" s="44"/>
      <c r="J2" s="44" t="s">
        <v>154</v>
      </c>
      <c r="K2" s="44"/>
      <c r="L2" s="66">
        <v>84466.93</v>
      </c>
      <c r="M2" s="74" t="s">
        <v>142</v>
      </c>
      <c r="N2" s="10"/>
      <c r="O2" s="10"/>
      <c r="P2" s="44"/>
    </row>
    <row r="3" spans="4:16" s="43" customFormat="1" ht="73.5" customHeight="1" hidden="1">
      <c r="D3" s="65" t="s">
        <v>158</v>
      </c>
      <c r="E3" s="10">
        <v>135901.48</v>
      </c>
      <c r="F3" s="10" t="s">
        <v>140</v>
      </c>
      <c r="G3" s="97" t="s">
        <v>141</v>
      </c>
      <c r="H3" s="98"/>
      <c r="I3" s="44"/>
      <c r="J3" s="44"/>
      <c r="K3" s="44"/>
      <c r="L3" s="66">
        <v>472500.32</v>
      </c>
      <c r="M3" s="66" t="s">
        <v>95</v>
      </c>
      <c r="N3" s="10"/>
      <c r="O3" s="10">
        <f>9114*1.302*12</f>
        <v>142397.136</v>
      </c>
      <c r="P3" s="44"/>
    </row>
    <row r="4" spans="4:16" s="43" customFormat="1" ht="44.25" customHeight="1" hidden="1">
      <c r="D4" s="64" t="s">
        <v>139</v>
      </c>
      <c r="E4" s="10">
        <v>4301671.5</v>
      </c>
      <c r="F4" s="99">
        <v>3506337.16</v>
      </c>
      <c r="G4" s="10">
        <v>64003.4</v>
      </c>
      <c r="H4" s="46" t="s">
        <v>156</v>
      </c>
      <c r="I4" s="44"/>
      <c r="J4" s="44"/>
      <c r="K4" s="44"/>
      <c r="L4" s="66">
        <f>4688932.25-1030063.76+615333</f>
        <v>4274201.49</v>
      </c>
      <c r="M4" s="74" t="s">
        <v>143</v>
      </c>
      <c r="N4" s="10"/>
      <c r="O4" s="10"/>
      <c r="P4" s="44"/>
    </row>
    <row r="5" spans="4:16" s="43" customFormat="1" ht="33.75" customHeight="1" hidden="1">
      <c r="D5" s="64"/>
      <c r="E5" s="10">
        <f>SUM(E3:E4)</f>
        <v>4437572.98</v>
      </c>
      <c r="F5" s="10"/>
      <c r="G5" s="44"/>
      <c r="H5" s="44">
        <v>59835.06</v>
      </c>
      <c r="I5" s="44"/>
      <c r="J5" s="44"/>
      <c r="K5" s="44"/>
      <c r="M5" s="62"/>
      <c r="N5" s="10"/>
      <c r="O5" s="10"/>
      <c r="P5" s="44"/>
    </row>
    <row r="6" spans="4:16" s="43" customFormat="1" ht="33.75" customHeight="1" hidden="1">
      <c r="D6" s="61"/>
      <c r="E6" s="10"/>
      <c r="F6" s="10"/>
      <c r="G6" s="44"/>
      <c r="H6" s="44"/>
      <c r="I6" s="44"/>
      <c r="J6" s="44"/>
      <c r="K6" s="44"/>
      <c r="L6" s="43">
        <f>SUM(L2:L5)</f>
        <v>4831168.74</v>
      </c>
      <c r="M6" s="62"/>
      <c r="N6" s="10"/>
      <c r="O6" s="10"/>
      <c r="P6" s="44"/>
    </row>
    <row r="7" spans="1:18" s="43" customFormat="1" ht="0.75" customHeight="1" thickBot="1">
      <c r="A7" s="44"/>
      <c r="B7" s="44"/>
      <c r="C7" s="44"/>
      <c r="D7" s="45"/>
      <c r="E7" s="44"/>
      <c r="F7" s="44" t="s">
        <v>150</v>
      </c>
      <c r="G7" s="44">
        <f>17290.02+1428</f>
        <v>18718.02</v>
      </c>
      <c r="H7" s="44"/>
      <c r="I7" s="44"/>
      <c r="J7" s="44"/>
      <c r="K7" s="44"/>
      <c r="L7" s="44"/>
      <c r="M7" s="46"/>
      <c r="N7" s="44"/>
      <c r="O7" s="44"/>
      <c r="P7" s="44"/>
      <c r="Q7" s="44"/>
      <c r="R7" s="44"/>
    </row>
    <row r="8" spans="1:18" ht="42" customHeight="1" thickBot="1">
      <c r="A8" s="83" t="s">
        <v>157</v>
      </c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5" t="s">
        <v>155</v>
      </c>
    </row>
    <row r="9" spans="1:18" ht="35.25" customHeight="1">
      <c r="A9" s="91"/>
      <c r="B9" s="92"/>
      <c r="C9" s="92"/>
      <c r="D9" s="93"/>
      <c r="E9" s="90" t="s">
        <v>138</v>
      </c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1"/>
      <c r="R9" s="86"/>
    </row>
    <row r="10" spans="1:18" s="1" customFormat="1" ht="52.5" customHeight="1">
      <c r="A10" s="75" t="s">
        <v>64</v>
      </c>
      <c r="B10" s="75" t="s">
        <v>0</v>
      </c>
      <c r="C10" s="79" t="s">
        <v>1</v>
      </c>
      <c r="D10" s="79" t="s">
        <v>146</v>
      </c>
      <c r="E10" s="100" t="s">
        <v>55</v>
      </c>
      <c r="F10" s="79" t="s">
        <v>56</v>
      </c>
      <c r="G10" s="79" t="s">
        <v>47</v>
      </c>
      <c r="H10" s="79" t="s">
        <v>48</v>
      </c>
      <c r="I10" s="79" t="s">
        <v>49</v>
      </c>
      <c r="J10" s="79" t="s">
        <v>160</v>
      </c>
      <c r="K10" s="79" t="s">
        <v>159</v>
      </c>
      <c r="L10" s="88" t="s">
        <v>57</v>
      </c>
      <c r="M10" s="89"/>
      <c r="N10" s="79" t="s">
        <v>63</v>
      </c>
      <c r="O10" s="81" t="s">
        <v>60</v>
      </c>
      <c r="P10" s="79" t="s">
        <v>61</v>
      </c>
      <c r="Q10" s="94" t="s">
        <v>62</v>
      </c>
      <c r="R10" s="86"/>
    </row>
    <row r="11" spans="1:18" s="1" customFormat="1" ht="52.5" customHeight="1" thickBot="1">
      <c r="A11" s="76"/>
      <c r="B11" s="76"/>
      <c r="C11" s="80"/>
      <c r="D11" s="80"/>
      <c r="E11" s="101"/>
      <c r="F11" s="80"/>
      <c r="G11" s="80"/>
      <c r="H11" s="80"/>
      <c r="I11" s="87"/>
      <c r="J11" s="87"/>
      <c r="K11" s="87"/>
      <c r="L11" s="60" t="s">
        <v>58</v>
      </c>
      <c r="M11" s="60" t="s">
        <v>59</v>
      </c>
      <c r="N11" s="80"/>
      <c r="O11" s="82"/>
      <c r="P11" s="80"/>
      <c r="Q11" s="95"/>
      <c r="R11" s="86"/>
    </row>
    <row r="12" spans="1:18" s="32" customFormat="1" ht="17.25" customHeight="1" thickBot="1">
      <c r="A12" s="30">
        <v>1</v>
      </c>
      <c r="B12" s="31">
        <v>2</v>
      </c>
      <c r="C12" s="31">
        <v>3</v>
      </c>
      <c r="D12" s="31">
        <v>4</v>
      </c>
      <c r="E12" s="11">
        <v>5</v>
      </c>
      <c r="F12" s="11">
        <v>6</v>
      </c>
      <c r="G12" s="11">
        <v>7</v>
      </c>
      <c r="H12" s="47">
        <v>8</v>
      </c>
      <c r="I12" s="67">
        <v>9</v>
      </c>
      <c r="J12" s="67">
        <v>10</v>
      </c>
      <c r="K12" s="102">
        <v>11</v>
      </c>
      <c r="L12" s="70">
        <v>12</v>
      </c>
      <c r="M12" s="71">
        <v>13</v>
      </c>
      <c r="N12" s="48">
        <v>14</v>
      </c>
      <c r="O12" s="14">
        <v>15</v>
      </c>
      <c r="P12" s="47">
        <v>16</v>
      </c>
      <c r="Q12" s="48">
        <v>17</v>
      </c>
      <c r="R12" s="48">
        <v>18</v>
      </c>
    </row>
    <row r="13" spans="1:18" s="22" customFormat="1" ht="52.5" customHeight="1" thickBot="1">
      <c r="A13" s="16" t="s">
        <v>2</v>
      </c>
      <c r="B13" s="17" t="s">
        <v>3</v>
      </c>
      <c r="C13" s="18">
        <v>1990</v>
      </c>
      <c r="D13" s="19">
        <v>731</v>
      </c>
      <c r="E13" s="103">
        <f>E4/D77*D13</f>
        <v>42540.505754326055</v>
      </c>
      <c r="F13" s="103">
        <f>(F4/G4*D13)</f>
        <v>40046.817262207944</v>
      </c>
      <c r="G13" s="103">
        <f>2609.85+58.79</f>
        <v>2668.64</v>
      </c>
      <c r="H13" s="103">
        <v>0</v>
      </c>
      <c r="I13" s="104">
        <v>0</v>
      </c>
      <c r="J13" s="105">
        <v>1933.69</v>
      </c>
      <c r="K13" s="106">
        <v>0</v>
      </c>
      <c r="L13" s="68">
        <f>L4/D56*D13</f>
        <v>47623.668991981016</v>
      </c>
      <c r="M13" s="69">
        <f>L13*54.48%</f>
        <v>25945.374866831255</v>
      </c>
      <c r="N13" s="69">
        <f>SUM(E13:L13)</f>
        <v>134813.322008515</v>
      </c>
      <c r="O13" s="96">
        <f>145590.48+3062.04</f>
        <v>148652.52000000002</v>
      </c>
      <c r="P13" s="96">
        <f>120408.46+2560.56</f>
        <v>122969.02</v>
      </c>
      <c r="Q13" s="72">
        <f aca="true" t="shared" si="0" ref="Q13:Q55">P13-N13</f>
        <v>-11844.302008515006</v>
      </c>
      <c r="R13" s="73" t="s">
        <v>111</v>
      </c>
    </row>
    <row r="14" spans="1:18" s="22" customFormat="1" ht="52.5" customHeight="1" thickBot="1">
      <c r="A14" s="20">
        <v>2</v>
      </c>
      <c r="B14" s="5" t="s">
        <v>8</v>
      </c>
      <c r="C14" s="15">
        <v>1978</v>
      </c>
      <c r="D14" s="15">
        <v>868.6</v>
      </c>
      <c r="E14" s="7">
        <f>E4/D77*D14</f>
        <v>50548.13036690508</v>
      </c>
      <c r="F14" s="7">
        <f>(F4/G4*D14)</f>
        <v>47585.04168803532</v>
      </c>
      <c r="G14" s="7">
        <f>15130.456+69.86</f>
        <v>15200.316</v>
      </c>
      <c r="H14" s="7">
        <v>0</v>
      </c>
      <c r="I14" s="107">
        <v>0</v>
      </c>
      <c r="J14" s="105">
        <v>2587.16</v>
      </c>
      <c r="K14" s="106">
        <v>0</v>
      </c>
      <c r="L14" s="13">
        <f>L4/D56*D14</f>
        <v>56588.12433164804</v>
      </c>
      <c r="M14" s="8">
        <f aca="true" t="shared" si="1" ref="M14:M55">L14*54.48%</f>
        <v>30829.21013588185</v>
      </c>
      <c r="N14" s="8">
        <f>SUM(E14:L14)</f>
        <v>172508.77238658845</v>
      </c>
      <c r="O14" s="12">
        <f>155995.86+4061.4</f>
        <v>160057.25999999998</v>
      </c>
      <c r="P14" s="12">
        <f>140467.51+3700.74</f>
        <v>144168.25</v>
      </c>
      <c r="Q14" s="3">
        <f t="shared" si="0"/>
        <v>-28340.522386588447</v>
      </c>
      <c r="R14" s="9" t="s">
        <v>112</v>
      </c>
    </row>
    <row r="15" spans="1:18" s="22" customFormat="1" ht="52.5" customHeight="1" thickBot="1">
      <c r="A15" s="20">
        <v>3</v>
      </c>
      <c r="B15" s="5" t="s">
        <v>9</v>
      </c>
      <c r="C15" s="15">
        <v>1988</v>
      </c>
      <c r="D15" s="15">
        <v>732.3</v>
      </c>
      <c r="E15" s="7">
        <f>E4/D77*D15</f>
        <v>42616.15918453211</v>
      </c>
      <c r="F15" s="7">
        <f>(F4/G4*D15)</f>
        <v>40118.03595227753</v>
      </c>
      <c r="G15" s="7">
        <f>5787.6+58.9</f>
        <v>5846.5</v>
      </c>
      <c r="H15" s="7">
        <v>13310.6</v>
      </c>
      <c r="I15" s="107">
        <v>1069.4</v>
      </c>
      <c r="J15" s="105">
        <v>1279.82</v>
      </c>
      <c r="K15" s="106">
        <v>4320</v>
      </c>
      <c r="L15" s="13">
        <f>L4/D56*D15</f>
        <v>47708.362247370314</v>
      </c>
      <c r="M15" s="8">
        <f t="shared" si="1"/>
        <v>25991.515752367344</v>
      </c>
      <c r="N15" s="8">
        <f aca="true" t="shared" si="2" ref="N15:N71">SUM(E15:L15)</f>
        <v>156268.87738417997</v>
      </c>
      <c r="O15" s="12">
        <f>146249.88+4217.4</f>
        <v>150467.28</v>
      </c>
      <c r="P15" s="12">
        <f>144658.89+4224.6</f>
        <v>148883.49000000002</v>
      </c>
      <c r="Q15" s="3">
        <f t="shared" si="0"/>
        <v>-7385.3873841799505</v>
      </c>
      <c r="R15" s="9" t="s">
        <v>99</v>
      </c>
    </row>
    <row r="16" spans="1:18" s="22" customFormat="1" ht="52.5" customHeight="1" thickBot="1">
      <c r="A16" s="20">
        <v>4</v>
      </c>
      <c r="B16" s="5" t="s">
        <v>4</v>
      </c>
      <c r="C16" s="15">
        <v>1991</v>
      </c>
      <c r="D16" s="15">
        <v>719.2</v>
      </c>
      <c r="E16" s="7">
        <f>E4/D77*D16</f>
        <v>41853.80538784036</v>
      </c>
      <c r="F16" s="7">
        <f>(F4/G4*D16)</f>
        <v>39400.37069080705</v>
      </c>
      <c r="G16" s="7">
        <f>2535.04+57.84</f>
        <v>2592.88</v>
      </c>
      <c r="H16" s="7">
        <v>3539</v>
      </c>
      <c r="I16" s="107">
        <v>0</v>
      </c>
      <c r="J16" s="105">
        <v>1299.2</v>
      </c>
      <c r="K16" s="106">
        <v>0</v>
      </c>
      <c r="L16" s="13">
        <f>L4/D56*D16</f>
        <v>46854.914827678185</v>
      </c>
      <c r="M16" s="8">
        <f t="shared" si="1"/>
        <v>25526.557598119074</v>
      </c>
      <c r="N16" s="8">
        <f t="shared" si="2"/>
        <v>135540.1709063256</v>
      </c>
      <c r="O16" s="12">
        <f>144112.56+4014.22</f>
        <v>148126.78</v>
      </c>
      <c r="P16" s="12">
        <f>128295.84+3582.75</f>
        <v>131878.59</v>
      </c>
      <c r="Q16" s="3">
        <f t="shared" si="0"/>
        <v>-3661.580906325602</v>
      </c>
      <c r="R16" s="21" t="s">
        <v>98</v>
      </c>
    </row>
    <row r="17" spans="1:18" s="22" customFormat="1" ht="52.5" customHeight="1" thickBot="1">
      <c r="A17" s="20">
        <v>5</v>
      </c>
      <c r="B17" s="5" t="s">
        <v>28</v>
      </c>
      <c r="C17" s="15">
        <v>1991</v>
      </c>
      <c r="D17" s="15">
        <v>721.5</v>
      </c>
      <c r="E17" s="7">
        <f>E4/D77*D17</f>
        <v>41987.65376435876</v>
      </c>
      <c r="F17" s="7">
        <f>(F4/G4*D17)</f>
        <v>39526.37298862248</v>
      </c>
      <c r="G17" s="7">
        <f>8409.11+58.03</f>
        <v>8467.140000000001</v>
      </c>
      <c r="H17" s="7">
        <v>539</v>
      </c>
      <c r="I17" s="107">
        <v>1053.6</v>
      </c>
      <c r="J17" s="105">
        <v>1279.83</v>
      </c>
      <c r="K17" s="106">
        <v>0</v>
      </c>
      <c r="L17" s="13">
        <f>L4/D56*D17</f>
        <v>47004.75674105924</v>
      </c>
      <c r="M17" s="8">
        <f t="shared" si="1"/>
        <v>25608.19147252907</v>
      </c>
      <c r="N17" s="8">
        <f t="shared" si="2"/>
        <v>139858.3534940405</v>
      </c>
      <c r="O17" s="12">
        <f>144492.12+3993.12</f>
        <v>148485.24</v>
      </c>
      <c r="P17" s="12">
        <f>154676.45+4343.19</f>
        <v>159019.64</v>
      </c>
      <c r="Q17" s="3">
        <f t="shared" si="0"/>
        <v>19161.28650595952</v>
      </c>
      <c r="R17" s="21" t="s">
        <v>96</v>
      </c>
    </row>
    <row r="18" spans="1:18" s="22" customFormat="1" ht="52.5" customHeight="1" thickBot="1">
      <c r="A18" s="20">
        <v>6</v>
      </c>
      <c r="B18" s="5" t="s">
        <v>10</v>
      </c>
      <c r="C18" s="15">
        <v>1989</v>
      </c>
      <c r="D18" s="15">
        <v>4255.9</v>
      </c>
      <c r="E18" s="7">
        <f>E4/D77*D18</f>
        <v>247671.8720107199</v>
      </c>
      <c r="F18" s="7">
        <f>(F4/G4*D18)</f>
        <v>233153.55620551406</v>
      </c>
      <c r="G18" s="7">
        <f>23445.55+342.28</f>
        <v>23787.829999999998</v>
      </c>
      <c r="H18" s="7">
        <v>4174.62</v>
      </c>
      <c r="I18" s="107">
        <v>66646.85</v>
      </c>
      <c r="J18" s="105">
        <v>7654.18</v>
      </c>
      <c r="K18" s="106">
        <v>0</v>
      </c>
      <c r="L18" s="13">
        <f>L4/D56*D18</f>
        <v>277266.1735471573</v>
      </c>
      <c r="M18" s="8">
        <f t="shared" si="1"/>
        <v>151054.6113484913</v>
      </c>
      <c r="N18" s="8">
        <f t="shared" si="2"/>
        <v>860355.0817633914</v>
      </c>
      <c r="O18" s="12">
        <f>853778.56+28468.94</f>
        <v>882247.5</v>
      </c>
      <c r="P18" s="12">
        <f>854830.76+28112</f>
        <v>882942.76</v>
      </c>
      <c r="Q18" s="3">
        <f t="shared" si="0"/>
        <v>22587.678236608626</v>
      </c>
      <c r="R18" s="9" t="s">
        <v>109</v>
      </c>
    </row>
    <row r="19" spans="1:18" s="22" customFormat="1" ht="52.5" customHeight="1" thickBot="1">
      <c r="A19" s="20">
        <v>7</v>
      </c>
      <c r="B19" s="5" t="s">
        <v>11</v>
      </c>
      <c r="C19" s="15">
        <v>1988</v>
      </c>
      <c r="D19" s="15">
        <v>4245.1</v>
      </c>
      <c r="E19" s="7">
        <f>E4/D77*D19</f>
        <v>247043.3665905466</v>
      </c>
      <c r="F19" s="7">
        <f>(F4/G4*D19)</f>
        <v>232561.89324185904</v>
      </c>
      <c r="G19" s="7">
        <f>23439.79+341.41</f>
        <v>23781.2</v>
      </c>
      <c r="H19" s="7">
        <v>21406.2</v>
      </c>
      <c r="I19" s="107">
        <v>33946.66</v>
      </c>
      <c r="J19" s="105">
        <v>7654.18</v>
      </c>
      <c r="K19" s="106">
        <v>28800</v>
      </c>
      <c r="L19" s="13">
        <f>L4/D56*D19</f>
        <v>276562.5680408463</v>
      </c>
      <c r="M19" s="8">
        <f t="shared" si="1"/>
        <v>150671.28706865307</v>
      </c>
      <c r="N19" s="8">
        <f t="shared" si="2"/>
        <v>871756.0678732521</v>
      </c>
      <c r="O19" s="12">
        <f>848697.17+28299.78</f>
        <v>876996.9500000001</v>
      </c>
      <c r="P19" s="12">
        <f>817644.68+27787.51</f>
        <v>845432.1900000001</v>
      </c>
      <c r="Q19" s="3">
        <f t="shared" si="0"/>
        <v>-26323.87787325203</v>
      </c>
      <c r="R19" s="9" t="s">
        <v>108</v>
      </c>
    </row>
    <row r="20" spans="1:18" s="22" customFormat="1" ht="52.5" customHeight="1" thickBot="1">
      <c r="A20" s="20">
        <v>8</v>
      </c>
      <c r="B20" s="5" t="s">
        <v>5</v>
      </c>
      <c r="C20" s="15">
        <v>1978</v>
      </c>
      <c r="D20" s="15">
        <v>772.1</v>
      </c>
      <c r="E20" s="7">
        <f>E4/D77*D20</f>
        <v>44932.31804776354</v>
      </c>
      <c r="F20" s="7">
        <f>(F4/G4*D20)</f>
        <v>42298.42354056191</v>
      </c>
      <c r="G20" s="7">
        <f>6550.52+62.1</f>
        <v>6612.620000000001</v>
      </c>
      <c r="H20" s="7">
        <v>6533</v>
      </c>
      <c r="I20" s="107">
        <v>268.43</v>
      </c>
      <c r="J20" s="105">
        <v>1882.94</v>
      </c>
      <c r="K20" s="106">
        <v>6480</v>
      </c>
      <c r="L20" s="13">
        <f>L4/D56*D20</f>
        <v>50301.27883544261</v>
      </c>
      <c r="M20" s="8">
        <f t="shared" si="1"/>
        <v>27404.13670954913</v>
      </c>
      <c r="N20" s="8">
        <f t="shared" si="2"/>
        <v>159309.01042376805</v>
      </c>
      <c r="O20" s="12">
        <f>139385.82+4466.4</f>
        <v>143852.22</v>
      </c>
      <c r="P20" s="12">
        <f>140044.12+4431.75</f>
        <v>144475.87</v>
      </c>
      <c r="Q20" s="3">
        <f t="shared" si="0"/>
        <v>-14833.140423768054</v>
      </c>
      <c r="R20" s="21" t="s">
        <v>50</v>
      </c>
    </row>
    <row r="21" spans="1:18" s="22" customFormat="1" ht="52.5" customHeight="1" thickBot="1">
      <c r="A21" s="20">
        <v>9</v>
      </c>
      <c r="B21" s="5" t="s">
        <v>12</v>
      </c>
      <c r="C21" s="15">
        <v>1979</v>
      </c>
      <c r="D21" s="15">
        <v>779.4</v>
      </c>
      <c r="E21" s="7">
        <f>E4/D77*D21</f>
        <v>45357.141155843674</v>
      </c>
      <c r="F21" s="7">
        <f>(F4/G4*D21)</f>
        <v>42698.34387710653</v>
      </c>
      <c r="G21" s="7">
        <f>4871.34+62.68</f>
        <v>4934.02</v>
      </c>
      <c r="H21" s="7">
        <v>955</v>
      </c>
      <c r="I21" s="107">
        <v>0</v>
      </c>
      <c r="J21" s="105">
        <v>1882.94</v>
      </c>
      <c r="K21" s="106">
        <v>3240</v>
      </c>
      <c r="L21" s="13">
        <f>L4/D56*D21</f>
        <v>50776.8640387825</v>
      </c>
      <c r="M21" s="8">
        <f t="shared" si="1"/>
        <v>27663.235528328703</v>
      </c>
      <c r="N21" s="8">
        <f t="shared" si="2"/>
        <v>149844.3090717327</v>
      </c>
      <c r="O21" s="12">
        <f>139943.28+4437.6</f>
        <v>144380.88</v>
      </c>
      <c r="P21" s="12">
        <f>147125.58+4681.2</f>
        <v>151806.78</v>
      </c>
      <c r="Q21" s="3">
        <f t="shared" si="0"/>
        <v>1962.4709282672848</v>
      </c>
      <c r="R21" s="9" t="s">
        <v>120</v>
      </c>
    </row>
    <row r="22" spans="1:18" s="22" customFormat="1" ht="52.5" customHeight="1" thickBot="1">
      <c r="A22" s="20">
        <v>10</v>
      </c>
      <c r="B22" s="5" t="s">
        <v>6</v>
      </c>
      <c r="C22" s="15">
        <v>1991</v>
      </c>
      <c r="D22" s="15">
        <v>5272.8</v>
      </c>
      <c r="E22" s="7">
        <f>E4/D77*D22</f>
        <v>306850.3129157462</v>
      </c>
      <c r="F22" s="7">
        <f>(F4/G4*D22)</f>
        <v>288863.00692225725</v>
      </c>
      <c r="G22" s="7">
        <f>64495.3+424.07</f>
        <v>64919.37</v>
      </c>
      <c r="H22" s="7">
        <v>30960.91</v>
      </c>
      <c r="I22" s="107">
        <v>22568.2</v>
      </c>
      <c r="J22" s="105">
        <v>8022.17</v>
      </c>
      <c r="K22" s="106">
        <v>3240</v>
      </c>
      <c r="L22" s="13">
        <f>L4/D56*D22</f>
        <v>343515.8438589843</v>
      </c>
      <c r="M22" s="8">
        <f t="shared" si="1"/>
        <v>187147.43173437464</v>
      </c>
      <c r="N22" s="8">
        <f t="shared" si="2"/>
        <v>1068939.813696988</v>
      </c>
      <c r="O22" s="12">
        <f>1057212+36204.14</f>
        <v>1093416.14</v>
      </c>
      <c r="P22" s="12">
        <f>1024689.4+34633.54</f>
        <v>1059322.94</v>
      </c>
      <c r="Q22" s="3">
        <f t="shared" si="0"/>
        <v>-9616.873696987983</v>
      </c>
      <c r="R22" s="9" t="s">
        <v>121</v>
      </c>
    </row>
    <row r="23" spans="1:18" s="22" customFormat="1" ht="52.5" customHeight="1" thickBot="1">
      <c r="A23" s="20">
        <v>11</v>
      </c>
      <c r="B23" s="5" t="s">
        <v>42</v>
      </c>
      <c r="C23" s="15">
        <v>1984</v>
      </c>
      <c r="D23" s="15">
        <v>3575.2</v>
      </c>
      <c r="E23" s="7">
        <f>E4/D77*D23</f>
        <v>208058.57205590495</v>
      </c>
      <c r="F23" s="7">
        <f>(F4/G4*D23)</f>
        <v>195862.3544129218</v>
      </c>
      <c r="G23" s="7">
        <f>430171.87+292.6</f>
        <v>430464.47</v>
      </c>
      <c r="H23" s="7">
        <v>16526.44</v>
      </c>
      <c r="I23" s="107">
        <v>0</v>
      </c>
      <c r="J23" s="105">
        <v>0</v>
      </c>
      <c r="K23" s="106">
        <v>0</v>
      </c>
      <c r="L23" s="13">
        <f>L4/D56*D23</f>
        <v>232919.48205216214</v>
      </c>
      <c r="M23" s="8">
        <f t="shared" si="1"/>
        <v>126894.53382201793</v>
      </c>
      <c r="N23" s="8">
        <f t="shared" si="2"/>
        <v>1083831.3185209888</v>
      </c>
      <c r="O23" s="12">
        <f>714439.54+48268.43+440588.58</f>
        <v>1203296.55</v>
      </c>
      <c r="P23" s="12">
        <f>601388.39+41017.15+408399.16</f>
        <v>1050804.7</v>
      </c>
      <c r="Q23" s="3">
        <f t="shared" si="0"/>
        <v>-33026.61852098885</v>
      </c>
      <c r="R23" s="9" t="s">
        <v>137</v>
      </c>
    </row>
    <row r="24" spans="1:18" s="22" customFormat="1" ht="52.5" customHeight="1" thickBot="1">
      <c r="A24" s="20">
        <v>12</v>
      </c>
      <c r="B24" s="5" t="s">
        <v>148</v>
      </c>
      <c r="C24" s="15">
        <v>1978</v>
      </c>
      <c r="D24" s="15">
        <v>271.7</v>
      </c>
      <c r="E24" s="7">
        <f>E4/D77*D24</f>
        <v>15811.566913064828</v>
      </c>
      <c r="F24" s="7">
        <f>(F4/G4*D24)</f>
        <v>14884.706224544321</v>
      </c>
      <c r="G24" s="105">
        <f>2011.5+21.85</f>
        <v>2033.35</v>
      </c>
      <c r="H24" s="7">
        <v>0</v>
      </c>
      <c r="I24" s="107">
        <v>10714.4</v>
      </c>
      <c r="J24" s="105">
        <v>982.34</v>
      </c>
      <c r="K24" s="106">
        <v>0</v>
      </c>
      <c r="L24" s="13">
        <f>L4/D56*D24</f>
        <v>17700.890376362848</v>
      </c>
      <c r="M24" s="8">
        <f t="shared" si="1"/>
        <v>9643.44507704248</v>
      </c>
      <c r="N24" s="8">
        <f t="shared" si="2"/>
        <v>62127.25351397199</v>
      </c>
      <c r="O24" s="12">
        <f>53410.38+1059</f>
        <v>54469.38</v>
      </c>
      <c r="P24" s="12">
        <f>38054.89+777.01</f>
        <v>38831.9</v>
      </c>
      <c r="Q24" s="3">
        <f t="shared" si="0"/>
        <v>-23295.35351397199</v>
      </c>
      <c r="R24" s="21" t="s">
        <v>52</v>
      </c>
    </row>
    <row r="25" spans="1:18" s="22" customFormat="1" ht="52.5" customHeight="1" thickBot="1">
      <c r="A25" s="20">
        <v>13</v>
      </c>
      <c r="B25" s="5" t="s">
        <v>149</v>
      </c>
      <c r="C25" s="15">
        <v>1977</v>
      </c>
      <c r="D25" s="23">
        <v>271</v>
      </c>
      <c r="E25" s="7">
        <f>E4/D77*D25</f>
        <v>15770.830450646185</v>
      </c>
      <c r="F25" s="7">
        <f>(F4/G4*D25)</f>
        <v>14846.357699122234</v>
      </c>
      <c r="G25" s="7">
        <f>837.6+21.8</f>
        <v>859.4</v>
      </c>
      <c r="H25" s="7">
        <v>97</v>
      </c>
      <c r="I25" s="107">
        <v>395.78</v>
      </c>
      <c r="J25" s="105">
        <v>982.34</v>
      </c>
      <c r="K25" s="106">
        <v>0</v>
      </c>
      <c r="L25" s="13">
        <f>L4/D56*D25</f>
        <v>17655.28631576861</v>
      </c>
      <c r="M25" s="8">
        <f t="shared" si="1"/>
        <v>9618.599984830738</v>
      </c>
      <c r="N25" s="8">
        <f t="shared" si="2"/>
        <v>50606.994465537035</v>
      </c>
      <c r="O25" s="12">
        <f>54089.52+1202.28</f>
        <v>55291.799999999996</v>
      </c>
      <c r="P25" s="12">
        <f>52384.22+1166.95</f>
        <v>53551.17</v>
      </c>
      <c r="Q25" s="3">
        <f t="shared" si="0"/>
        <v>2944.1755344629637</v>
      </c>
      <c r="R25" s="21"/>
    </row>
    <row r="26" spans="1:18" s="22" customFormat="1" ht="52.5" customHeight="1" thickBot="1">
      <c r="A26" s="20">
        <v>14</v>
      </c>
      <c r="B26" s="24" t="s">
        <v>40</v>
      </c>
      <c r="C26" s="15">
        <v>1986</v>
      </c>
      <c r="D26" s="15">
        <v>3215.3</v>
      </c>
      <c r="E26" s="7">
        <f>E4/D77*D26</f>
        <v>187114.21087809108</v>
      </c>
      <c r="F26" s="7">
        <f>(F4/G4*D26)</f>
        <v>176145.73398519456</v>
      </c>
      <c r="G26" s="7">
        <f>26774.7+258.59</f>
        <v>27033.29</v>
      </c>
      <c r="H26" s="7">
        <v>15218.54</v>
      </c>
      <c r="I26" s="107">
        <v>0</v>
      </c>
      <c r="J26" s="105">
        <v>5740.64</v>
      </c>
      <c r="K26" s="106">
        <v>21600</v>
      </c>
      <c r="L26" s="13">
        <f>L4/D56*D26</f>
        <v>209472.48004092555</v>
      </c>
      <c r="M26" s="8">
        <f t="shared" si="1"/>
        <v>114120.60712629624</v>
      </c>
      <c r="N26" s="8">
        <f t="shared" si="2"/>
        <v>642324.8949042112</v>
      </c>
      <c r="O26" s="12">
        <f>641455.18+20619.07</f>
        <v>662074.25</v>
      </c>
      <c r="P26" s="12">
        <f>624581.99+20210.6</f>
        <v>644792.59</v>
      </c>
      <c r="Q26" s="3">
        <f t="shared" si="0"/>
        <v>2467.695095788804</v>
      </c>
      <c r="R26" s="9" t="s">
        <v>100</v>
      </c>
    </row>
    <row r="27" spans="1:18" s="22" customFormat="1" ht="52.5" customHeight="1" thickBot="1">
      <c r="A27" s="20">
        <v>15</v>
      </c>
      <c r="B27" s="5" t="s">
        <v>7</v>
      </c>
      <c r="C27" s="15">
        <v>1977</v>
      </c>
      <c r="D27" s="15">
        <v>841.9</v>
      </c>
      <c r="E27" s="7">
        <f>E4/D77*D27</f>
        <v>48994.325300365395</v>
      </c>
      <c r="F27" s="7">
        <f>(F4/G4*D27)</f>
        <v>46122.31936122143</v>
      </c>
      <c r="G27" s="7">
        <f>5093.6+67.71</f>
        <v>5161.31</v>
      </c>
      <c r="H27" s="7">
        <v>547</v>
      </c>
      <c r="I27" s="107">
        <v>0</v>
      </c>
      <c r="J27" s="105">
        <v>1882.94</v>
      </c>
      <c r="K27" s="106">
        <v>6480</v>
      </c>
      <c r="L27" s="13">
        <f>L4/D56*D27</f>
        <v>54848.65516326788</v>
      </c>
      <c r="M27" s="8">
        <f t="shared" si="1"/>
        <v>29881.54733294834</v>
      </c>
      <c r="N27" s="8">
        <f t="shared" si="2"/>
        <v>164036.5498248547</v>
      </c>
      <c r="O27" s="12">
        <f>169040.1+4316.1</f>
        <v>173356.2</v>
      </c>
      <c r="P27" s="12">
        <f>166030.33+4247.82</f>
        <v>170278.15</v>
      </c>
      <c r="Q27" s="3">
        <f t="shared" si="0"/>
        <v>6241.600175145286</v>
      </c>
      <c r="R27" s="21" t="s">
        <v>83</v>
      </c>
    </row>
    <row r="28" spans="1:18" s="22" customFormat="1" ht="52.5" customHeight="1" thickBot="1">
      <c r="A28" s="20">
        <v>16</v>
      </c>
      <c r="B28" s="5" t="s">
        <v>41</v>
      </c>
      <c r="C28" s="15">
        <v>1966</v>
      </c>
      <c r="D28" s="15">
        <v>180.9</v>
      </c>
      <c r="E28" s="7">
        <f>E4/D77*D28</f>
        <v>10527.465787903671</v>
      </c>
      <c r="F28" s="7">
        <v>0</v>
      </c>
      <c r="G28" s="7">
        <f>566.77+14.55</f>
        <v>581.3199999999999</v>
      </c>
      <c r="H28" s="7">
        <v>0</v>
      </c>
      <c r="I28" s="107">
        <v>5281.85</v>
      </c>
      <c r="J28" s="105">
        <v>549.27</v>
      </c>
      <c r="K28" s="106">
        <v>1440</v>
      </c>
      <c r="L28" s="13">
        <f>L4/D56*D28</f>
        <v>11785.392230710488</v>
      </c>
      <c r="M28" s="8">
        <f t="shared" si="1"/>
        <v>6420.681687291073</v>
      </c>
      <c r="N28" s="8">
        <f t="shared" si="2"/>
        <v>30165.29801861416</v>
      </c>
      <c r="O28" s="12">
        <v>35127.7</v>
      </c>
      <c r="P28" s="12">
        <v>35359.51</v>
      </c>
      <c r="Q28" s="3">
        <f t="shared" si="0"/>
        <v>5194.211981385841</v>
      </c>
      <c r="R28" s="21" t="s">
        <v>51</v>
      </c>
    </row>
    <row r="29" spans="1:18" s="22" customFormat="1" ht="47.25" customHeight="1" thickBot="1">
      <c r="A29" s="20">
        <v>17</v>
      </c>
      <c r="B29" s="5" t="s">
        <v>13</v>
      </c>
      <c r="C29" s="15">
        <v>1974</v>
      </c>
      <c r="D29" s="15">
        <v>715.6</v>
      </c>
      <c r="E29" s="7">
        <f>E4/D77*D29</f>
        <v>41644.303581115906</v>
      </c>
      <c r="F29" s="7">
        <f>(F4/G4*D29)</f>
        <v>39203.14970292203</v>
      </c>
      <c r="G29" s="7">
        <f>9244.32+57.55</f>
        <v>9301.869999999999</v>
      </c>
      <c r="H29" s="7">
        <v>0</v>
      </c>
      <c r="I29" s="107">
        <v>283.8</v>
      </c>
      <c r="J29" s="105">
        <v>1933.69</v>
      </c>
      <c r="K29" s="106">
        <v>0</v>
      </c>
      <c r="L29" s="13">
        <f>L4/D56*D29</f>
        <v>46620.37965890783</v>
      </c>
      <c r="M29" s="8">
        <f t="shared" si="1"/>
        <v>25398.78283817298</v>
      </c>
      <c r="N29" s="8">
        <f t="shared" si="2"/>
        <v>138987.19294294575</v>
      </c>
      <c r="O29" s="12">
        <f>129265.5+2890.92</f>
        <v>132156.42</v>
      </c>
      <c r="P29" s="12">
        <f>126514.7+2836.86</f>
        <v>129351.56</v>
      </c>
      <c r="Q29" s="3">
        <f t="shared" si="0"/>
        <v>-9635.632942945755</v>
      </c>
      <c r="R29" s="21" t="s">
        <v>84</v>
      </c>
    </row>
    <row r="30" spans="1:18" s="22" customFormat="1" ht="47.25" customHeight="1" thickBot="1">
      <c r="A30" s="20">
        <v>18</v>
      </c>
      <c r="B30" s="5" t="s">
        <v>14</v>
      </c>
      <c r="C30" s="15">
        <v>1972</v>
      </c>
      <c r="D30" s="15">
        <v>714.9</v>
      </c>
      <c r="E30" s="7">
        <f>E4/D77*D30</f>
        <v>41603.56711869726</v>
      </c>
      <c r="F30" s="7">
        <f>(F4/G4*D30)</f>
        <v>39164.80117749995</v>
      </c>
      <c r="G30" s="7">
        <f>24597.28+57.5</f>
        <v>24654.78</v>
      </c>
      <c r="H30" s="7">
        <v>0</v>
      </c>
      <c r="I30" s="107">
        <v>283.8</v>
      </c>
      <c r="J30" s="105">
        <v>1949.18</v>
      </c>
      <c r="K30" s="106">
        <v>0</v>
      </c>
      <c r="L30" s="13">
        <f>L4/D56*D30</f>
        <v>46574.77559831359</v>
      </c>
      <c r="M30" s="8">
        <f t="shared" si="1"/>
        <v>25373.93774596124</v>
      </c>
      <c r="N30" s="8">
        <f t="shared" si="2"/>
        <v>154230.9038945108</v>
      </c>
      <c r="O30" s="12">
        <f>129157.56+2888.06</f>
        <v>132045.62</v>
      </c>
      <c r="P30" s="12">
        <f>125200.64+2793.73</f>
        <v>127994.37</v>
      </c>
      <c r="Q30" s="3">
        <f t="shared" si="0"/>
        <v>-26236.533894510794</v>
      </c>
      <c r="R30" s="21" t="s">
        <v>85</v>
      </c>
    </row>
    <row r="31" spans="1:18" s="22" customFormat="1" ht="47.25" customHeight="1" thickBot="1">
      <c r="A31" s="20">
        <v>19</v>
      </c>
      <c r="B31" s="5" t="s">
        <v>15</v>
      </c>
      <c r="C31" s="15">
        <v>1971</v>
      </c>
      <c r="D31" s="15">
        <v>715.2</v>
      </c>
      <c r="E31" s="7">
        <f>E4/D77*D31</f>
        <v>41621.02560259097</v>
      </c>
      <c r="F31" s="7">
        <f>(F4/G4*D31)</f>
        <v>39181.2362598237</v>
      </c>
      <c r="G31" s="7">
        <f>7349.64+57.52</f>
        <v>7407.160000000001</v>
      </c>
      <c r="H31" s="7">
        <v>187</v>
      </c>
      <c r="I31" s="107">
        <v>283.8</v>
      </c>
      <c r="J31" s="105">
        <v>1933.69</v>
      </c>
      <c r="K31" s="106">
        <v>0</v>
      </c>
      <c r="L31" s="13">
        <f>L4/D56*D31</f>
        <v>46594.320195711116</v>
      </c>
      <c r="M31" s="8">
        <f t="shared" si="1"/>
        <v>25384.585642623413</v>
      </c>
      <c r="N31" s="8">
        <f t="shared" si="2"/>
        <v>137208.23205812578</v>
      </c>
      <c r="O31" s="12">
        <f>128779.98+2880</f>
        <v>131659.97999999998</v>
      </c>
      <c r="P31" s="12">
        <f>119590.58+2680.68</f>
        <v>122271.26</v>
      </c>
      <c r="Q31" s="3">
        <f t="shared" si="0"/>
        <v>-14936.972058125786</v>
      </c>
      <c r="R31" s="21" t="s">
        <v>53</v>
      </c>
    </row>
    <row r="32" spans="1:18" s="22" customFormat="1" ht="47.25" customHeight="1" thickBot="1">
      <c r="A32" s="20">
        <v>20</v>
      </c>
      <c r="B32" s="5" t="s">
        <v>16</v>
      </c>
      <c r="C32" s="15">
        <v>1981</v>
      </c>
      <c r="D32" s="15">
        <v>875.2</v>
      </c>
      <c r="E32" s="7">
        <f>E4/D77*D32</f>
        <v>50932.21701256657</v>
      </c>
      <c r="F32" s="7">
        <f>(F4/G4*D32)</f>
        <v>47946.61349915786</v>
      </c>
      <c r="G32" s="7">
        <f>623.99+70.39</f>
        <v>694.38</v>
      </c>
      <c r="H32" s="7">
        <v>1008</v>
      </c>
      <c r="I32" s="107">
        <v>307.3</v>
      </c>
      <c r="J32" s="105">
        <v>1728</v>
      </c>
      <c r="K32" s="106">
        <v>6480</v>
      </c>
      <c r="L32" s="13">
        <f>L4/D56*D32</f>
        <v>57018.10547439369</v>
      </c>
      <c r="M32" s="8">
        <f t="shared" si="1"/>
        <v>31063.46386244968</v>
      </c>
      <c r="N32" s="8">
        <f t="shared" si="2"/>
        <v>166114.61598611812</v>
      </c>
      <c r="O32" s="12">
        <f>174053.28+4339.5</f>
        <v>178392.78</v>
      </c>
      <c r="P32" s="12">
        <f>164659.37+4204.12</f>
        <v>168863.49</v>
      </c>
      <c r="Q32" s="3">
        <f t="shared" si="0"/>
        <v>2748.8740138818684</v>
      </c>
      <c r="R32" s="9" t="s">
        <v>114</v>
      </c>
    </row>
    <row r="33" spans="1:18" s="22" customFormat="1" ht="52.5" customHeight="1" thickBot="1">
      <c r="A33" s="20">
        <v>21</v>
      </c>
      <c r="B33" s="5" t="s">
        <v>17</v>
      </c>
      <c r="C33" s="15">
        <v>1981</v>
      </c>
      <c r="D33" s="15">
        <v>875.4</v>
      </c>
      <c r="E33" s="7">
        <f>E4/D77*D33</f>
        <v>50943.856001829045</v>
      </c>
      <c r="F33" s="7">
        <f>(F4/G4*D33)</f>
        <v>47957.57022070702</v>
      </c>
      <c r="G33" s="7">
        <f>5961.24+70.4</f>
        <v>6031.639999999999</v>
      </c>
      <c r="H33" s="7">
        <v>30118.05</v>
      </c>
      <c r="I33" s="107">
        <v>307.3</v>
      </c>
      <c r="J33" s="105">
        <v>1728</v>
      </c>
      <c r="K33" s="106">
        <v>6480</v>
      </c>
      <c r="L33" s="13">
        <f>L4/D56*D33</f>
        <v>57031.13520599205</v>
      </c>
      <c r="M33" s="8">
        <f t="shared" si="1"/>
        <v>31070.562460224464</v>
      </c>
      <c r="N33" s="8">
        <f t="shared" si="2"/>
        <v>200597.5514285281</v>
      </c>
      <c r="O33" s="12">
        <f>175391.82+4320.36</f>
        <v>179712.18</v>
      </c>
      <c r="P33" s="12">
        <f>160102.04+4290.43</f>
        <v>164392.47</v>
      </c>
      <c r="Q33" s="3">
        <f t="shared" si="0"/>
        <v>-36205.081428528094</v>
      </c>
      <c r="R33" s="9" t="s">
        <v>113</v>
      </c>
    </row>
    <row r="34" spans="1:18" s="22" customFormat="1" ht="47.25" customHeight="1" thickBot="1">
      <c r="A34" s="20">
        <v>22</v>
      </c>
      <c r="B34" s="5" t="s">
        <v>18</v>
      </c>
      <c r="C34" s="15">
        <v>1986</v>
      </c>
      <c r="D34" s="15">
        <v>3099.3</v>
      </c>
      <c r="E34" s="7">
        <f>E4/D77*D34</f>
        <v>180363.59710585876</v>
      </c>
      <c r="F34" s="7">
        <f>(F4/G4*D34)</f>
        <v>169790.83548667727</v>
      </c>
      <c r="G34" s="7">
        <f>19774.15+249.26</f>
        <v>20023.41</v>
      </c>
      <c r="H34" s="7">
        <v>1893.69</v>
      </c>
      <c r="I34" s="107">
        <v>0</v>
      </c>
      <c r="J34" s="105">
        <v>7646.43</v>
      </c>
      <c r="K34" s="106">
        <v>32400</v>
      </c>
      <c r="L34" s="13">
        <f>L4/D56*D34</f>
        <v>201915.23571388068</v>
      </c>
      <c r="M34" s="8">
        <f t="shared" si="1"/>
        <v>110003.42041692219</v>
      </c>
      <c r="N34" s="8">
        <f t="shared" si="2"/>
        <v>614033.1983064166</v>
      </c>
      <c r="O34" s="12">
        <f>621822.12+24286.32</f>
        <v>646108.44</v>
      </c>
      <c r="P34" s="12">
        <f>602236.71+23661.25</f>
        <v>625897.96</v>
      </c>
      <c r="Q34" s="3">
        <f t="shared" si="0"/>
        <v>11864.761693583336</v>
      </c>
      <c r="R34" s="9" t="s">
        <v>129</v>
      </c>
    </row>
    <row r="35" spans="1:18" s="25" customFormat="1" ht="47.25" customHeight="1" thickBot="1">
      <c r="A35" s="20">
        <v>23</v>
      </c>
      <c r="B35" s="5" t="s">
        <v>19</v>
      </c>
      <c r="C35" s="15">
        <v>1981</v>
      </c>
      <c r="D35" s="15">
        <v>878.4</v>
      </c>
      <c r="E35" s="7">
        <f>E4/D77*D35</f>
        <v>51118.44084076608</v>
      </c>
      <c r="F35" s="7">
        <f>(F4/G4*D35)</f>
        <v>48121.92104394454</v>
      </c>
      <c r="G35" s="7">
        <f>7343.28+70.65</f>
        <v>7413.929999999999</v>
      </c>
      <c r="H35" s="7">
        <v>10695.62</v>
      </c>
      <c r="I35" s="107">
        <v>10439.88</v>
      </c>
      <c r="J35" s="105">
        <v>1728</v>
      </c>
      <c r="K35" s="106">
        <v>6480</v>
      </c>
      <c r="L35" s="13">
        <f>L4/D56*D35</f>
        <v>57226.58117996734</v>
      </c>
      <c r="M35" s="8">
        <f t="shared" si="1"/>
        <v>31177.041426846205</v>
      </c>
      <c r="N35" s="8">
        <f t="shared" si="2"/>
        <v>193224.37306467793</v>
      </c>
      <c r="O35" s="12">
        <f>175291.86+4317.48</f>
        <v>179609.34</v>
      </c>
      <c r="P35" s="12">
        <f>163985.64+4044.34</f>
        <v>168029.98</v>
      </c>
      <c r="Q35" s="3">
        <f t="shared" si="0"/>
        <v>-25194.39306467792</v>
      </c>
      <c r="R35" s="9" t="s">
        <v>115</v>
      </c>
    </row>
    <row r="36" spans="1:18" s="25" customFormat="1" ht="47.25" customHeight="1" thickBot="1">
      <c r="A36" s="20">
        <v>24</v>
      </c>
      <c r="B36" s="5" t="s">
        <v>23</v>
      </c>
      <c r="C36" s="15">
        <v>1981</v>
      </c>
      <c r="D36" s="15">
        <v>858.9</v>
      </c>
      <c r="E36" s="7">
        <f>E4/D77*D36</f>
        <v>49983.639387675306</v>
      </c>
      <c r="F36" s="7">
        <f>(F4/G4*D36)</f>
        <v>47053.64069290069</v>
      </c>
      <c r="G36" s="7">
        <f>5280.63+69.08</f>
        <v>5349.71</v>
      </c>
      <c r="H36" s="7">
        <v>2763.19</v>
      </c>
      <c r="I36" s="107">
        <v>307.3</v>
      </c>
      <c r="J36" s="105">
        <v>1728</v>
      </c>
      <c r="K36" s="106">
        <v>6480</v>
      </c>
      <c r="L36" s="13">
        <f>L4/D56*D36</f>
        <v>55956.1823491279</v>
      </c>
      <c r="M36" s="8">
        <f t="shared" si="1"/>
        <v>30484.92814380488</v>
      </c>
      <c r="N36" s="8">
        <f t="shared" si="2"/>
        <v>169621.6624297039</v>
      </c>
      <c r="O36" s="12">
        <f>171815.93+4335.48</f>
        <v>176151.41</v>
      </c>
      <c r="P36" s="12">
        <f>177710.01+4650.77</f>
        <v>182360.78</v>
      </c>
      <c r="Q36" s="3">
        <f t="shared" si="0"/>
        <v>12739.117570296105</v>
      </c>
      <c r="R36" s="9" t="s">
        <v>130</v>
      </c>
    </row>
    <row r="37" spans="1:18" s="22" customFormat="1" ht="57" customHeight="1" thickBot="1">
      <c r="A37" s="20">
        <v>25</v>
      </c>
      <c r="B37" s="5" t="s">
        <v>20</v>
      </c>
      <c r="C37" s="15">
        <v>1983</v>
      </c>
      <c r="D37" s="15">
        <v>3016.4</v>
      </c>
      <c r="E37" s="7">
        <f>E4/D77*D37</f>
        <v>175539.23605656513</v>
      </c>
      <c r="F37" s="7">
        <f>(F4/G4*D37)</f>
        <v>165249.27440454726</v>
      </c>
      <c r="G37" s="7">
        <f>-3177.49+242.6</f>
        <v>-2934.89</v>
      </c>
      <c r="H37" s="7">
        <v>3367.54</v>
      </c>
      <c r="I37" s="107">
        <v>6070.05</v>
      </c>
      <c r="J37" s="105">
        <v>5969.17</v>
      </c>
      <c r="K37" s="106">
        <v>21600</v>
      </c>
      <c r="L37" s="13">
        <f>L4/D56*D37</f>
        <v>196514.41196636326</v>
      </c>
      <c r="M37" s="8">
        <f t="shared" si="1"/>
        <v>107061.0516392747</v>
      </c>
      <c r="N37" s="8">
        <f t="shared" si="2"/>
        <v>571374.7924274756</v>
      </c>
      <c r="O37" s="12">
        <f>603974.34+18364.34</f>
        <v>622338.6799999999</v>
      </c>
      <c r="P37" s="12">
        <f>592975.03+17561.49</f>
        <v>610536.52</v>
      </c>
      <c r="Q37" s="3">
        <f t="shared" si="0"/>
        <v>39161.727572524454</v>
      </c>
      <c r="R37" s="21" t="s">
        <v>147</v>
      </c>
    </row>
    <row r="38" spans="1:18" s="22" customFormat="1" ht="47.25" customHeight="1" thickBot="1">
      <c r="A38" s="20">
        <v>26</v>
      </c>
      <c r="B38" s="5" t="s">
        <v>21</v>
      </c>
      <c r="C38" s="15">
        <v>1982</v>
      </c>
      <c r="D38" s="15">
        <v>878.3</v>
      </c>
      <c r="E38" s="7">
        <f>E4/D77*D38</f>
        <v>51112.621346134845</v>
      </c>
      <c r="F38" s="7">
        <f>(F4/G4*D38)</f>
        <v>48116.44268316995</v>
      </c>
      <c r="G38" s="7">
        <f>3136.28+70.64</f>
        <v>3206.92</v>
      </c>
      <c r="H38" s="7">
        <v>5714.65</v>
      </c>
      <c r="I38" s="107">
        <v>307.3</v>
      </c>
      <c r="J38" s="105">
        <v>1739.6</v>
      </c>
      <c r="K38" s="106">
        <v>6480</v>
      </c>
      <c r="L38" s="13">
        <f>L4/D56*D38</f>
        <v>57220.066314168165</v>
      </c>
      <c r="M38" s="8">
        <f t="shared" si="1"/>
        <v>31173.492127958812</v>
      </c>
      <c r="N38" s="8">
        <f t="shared" si="2"/>
        <v>173897.60034347296</v>
      </c>
      <c r="O38" s="12">
        <f>174832.56+4411.44</f>
        <v>179244</v>
      </c>
      <c r="P38" s="12">
        <f>163502.4+4135.45</f>
        <v>167637.85</v>
      </c>
      <c r="Q38" s="3">
        <f t="shared" si="0"/>
        <v>-6259.750343472959</v>
      </c>
      <c r="R38" s="9" t="s">
        <v>116</v>
      </c>
    </row>
    <row r="39" spans="1:18" s="22" customFormat="1" ht="39.75" customHeight="1" thickBot="1">
      <c r="A39" s="20">
        <v>27</v>
      </c>
      <c r="B39" s="5" t="s">
        <v>22</v>
      </c>
      <c r="C39" s="15">
        <v>1992</v>
      </c>
      <c r="D39" s="15">
        <v>2553.3</v>
      </c>
      <c r="E39" s="7">
        <f>E4/D77*D39</f>
        <v>148589.156419317</v>
      </c>
      <c r="F39" s="7">
        <f>(F4/G4*D39)</f>
        <v>139878.98565744946</v>
      </c>
      <c r="G39" s="7">
        <f>26263.43+205.35</f>
        <v>26468.78</v>
      </c>
      <c r="H39" s="7">
        <v>13494.93</v>
      </c>
      <c r="I39" s="107">
        <v>0</v>
      </c>
      <c r="J39" s="105">
        <v>8097.13</v>
      </c>
      <c r="K39" s="106">
        <v>0</v>
      </c>
      <c r="L39" s="13">
        <f>L4/D56*D39</f>
        <v>166344.0684503764</v>
      </c>
      <c r="M39" s="8">
        <f t="shared" si="1"/>
        <v>90624.24849176504</v>
      </c>
      <c r="N39" s="8">
        <f t="shared" si="2"/>
        <v>502873.0505271429</v>
      </c>
      <c r="O39" s="12">
        <f>513052.2+14949.42</f>
        <v>528001.62</v>
      </c>
      <c r="P39" s="12">
        <f>476064.47+13884.94</f>
        <v>489949.41</v>
      </c>
      <c r="Q39" s="3">
        <f t="shared" si="0"/>
        <v>-12923.64052714291</v>
      </c>
      <c r="R39" s="21" t="s">
        <v>54</v>
      </c>
    </row>
    <row r="40" spans="1:18" s="22" customFormat="1" ht="40.5" customHeight="1" thickBot="1">
      <c r="A40" s="20">
        <v>28</v>
      </c>
      <c r="B40" s="5" t="s">
        <v>24</v>
      </c>
      <c r="C40" s="15">
        <v>1987</v>
      </c>
      <c r="D40" s="15">
        <v>849.5</v>
      </c>
      <c r="E40" s="7">
        <f>E4/D77*D40</f>
        <v>49436.60689233924</v>
      </c>
      <c r="F40" s="7">
        <f>(F4/G4*D40)</f>
        <v>46538.67478008981</v>
      </c>
      <c r="G40" s="7">
        <f>7295.8+68.32</f>
        <v>7364.12</v>
      </c>
      <c r="H40" s="7">
        <v>18608.91</v>
      </c>
      <c r="I40" s="107">
        <v>307.3</v>
      </c>
      <c r="J40" s="105">
        <v>1728</v>
      </c>
      <c r="K40" s="106">
        <v>6480</v>
      </c>
      <c r="L40" s="13">
        <f>L4/D56*D40</f>
        <v>55343.7849640053</v>
      </c>
      <c r="M40" s="8">
        <f t="shared" si="1"/>
        <v>30151.294048390086</v>
      </c>
      <c r="N40" s="8">
        <f t="shared" si="2"/>
        <v>185807.39663643437</v>
      </c>
      <c r="O40" s="12">
        <f>169699.26+4383.84</f>
        <v>174083.1</v>
      </c>
      <c r="P40" s="12">
        <f>141535.87+3687.32</f>
        <v>145223.19</v>
      </c>
      <c r="Q40" s="3">
        <f t="shared" si="0"/>
        <v>-40584.20663643436</v>
      </c>
      <c r="R40" s="9" t="s">
        <v>117</v>
      </c>
    </row>
    <row r="41" spans="1:18" s="22" customFormat="1" ht="37.5" customHeight="1" thickBot="1">
      <c r="A41" s="20">
        <v>29</v>
      </c>
      <c r="B41" s="5" t="s">
        <v>25</v>
      </c>
      <c r="C41" s="15">
        <v>1989</v>
      </c>
      <c r="D41" s="15">
        <v>856.7</v>
      </c>
      <c r="E41" s="7">
        <f>E4/D77*D41</f>
        <v>49855.61050578814</v>
      </c>
      <c r="F41" s="7">
        <f>(F4/G4*D41)</f>
        <v>46933.116755859846</v>
      </c>
      <c r="G41" s="7">
        <f>4318.62+68.9</f>
        <v>4387.5199999999995</v>
      </c>
      <c r="H41" s="7">
        <v>1090</v>
      </c>
      <c r="I41" s="107">
        <v>26777.21</v>
      </c>
      <c r="J41" s="105">
        <v>1739.63</v>
      </c>
      <c r="K41" s="106">
        <v>0</v>
      </c>
      <c r="L41" s="13">
        <f>L4/D56*D41</f>
        <v>55812.85530154602</v>
      </c>
      <c r="M41" s="8">
        <f t="shared" si="1"/>
        <v>30406.843568282267</v>
      </c>
      <c r="N41" s="8">
        <f t="shared" si="2"/>
        <v>186595.94256319402</v>
      </c>
      <c r="O41" s="12">
        <f>170877.72+4260.48</f>
        <v>175138.2</v>
      </c>
      <c r="P41" s="12">
        <f>163404.7+3896.36</f>
        <v>167301.06</v>
      </c>
      <c r="Q41" s="3">
        <f t="shared" si="0"/>
        <v>-19294.882563194027</v>
      </c>
      <c r="R41" s="9" t="s">
        <v>118</v>
      </c>
    </row>
    <row r="42" spans="1:18" s="22" customFormat="1" ht="42" customHeight="1" thickBot="1">
      <c r="A42" s="20">
        <v>30</v>
      </c>
      <c r="B42" s="5" t="s">
        <v>43</v>
      </c>
      <c r="C42" s="15">
        <v>1990</v>
      </c>
      <c r="D42" s="15">
        <v>2196.6</v>
      </c>
      <c r="E42" s="7">
        <f>E4/D77*D42</f>
        <v>127831.01906970261</v>
      </c>
      <c r="F42" s="7">
        <f>(F4/G4*D42)</f>
        <v>120337.67277450884</v>
      </c>
      <c r="G42" s="7">
        <f>180864.24+80.13</f>
        <v>180944.37</v>
      </c>
      <c r="H42" s="7">
        <v>1646.48</v>
      </c>
      <c r="I42" s="107">
        <v>3102.39</v>
      </c>
      <c r="J42" s="105">
        <v>0</v>
      </c>
      <c r="K42" s="106">
        <v>0</v>
      </c>
      <c r="L42" s="13">
        <f>L4/D56*D42</f>
        <v>143105.5421447134</v>
      </c>
      <c r="M42" s="8">
        <f t="shared" si="1"/>
        <v>77963.89936043986</v>
      </c>
      <c r="N42" s="8">
        <f t="shared" si="2"/>
        <v>576967.4739889249</v>
      </c>
      <c r="O42" s="12">
        <f>238764.39+22472.04+141904.77</f>
        <v>403141.2</v>
      </c>
      <c r="P42" s="12">
        <f>213224.12+20170.27+131345.09</f>
        <v>364739.48</v>
      </c>
      <c r="Q42" s="3">
        <f t="shared" si="0"/>
        <v>-212227.9939889249</v>
      </c>
      <c r="R42" s="9" t="s">
        <v>101</v>
      </c>
    </row>
    <row r="43" spans="1:18" s="22" customFormat="1" ht="52.5" customHeight="1" thickBot="1">
      <c r="A43" s="20">
        <v>31</v>
      </c>
      <c r="B43" s="5" t="s">
        <v>44</v>
      </c>
      <c r="C43" s="15">
        <v>1990</v>
      </c>
      <c r="D43" s="23">
        <v>619</v>
      </c>
      <c r="E43" s="7">
        <f>E4/D77*D43</f>
        <v>36022.671767343134</v>
      </c>
      <c r="F43" s="7">
        <f>(F4/G4*D43)</f>
        <v>33911.05319467403</v>
      </c>
      <c r="G43" s="7">
        <f>3542.12+49.78</f>
        <v>3591.9</v>
      </c>
      <c r="H43" s="7">
        <v>36584.1</v>
      </c>
      <c r="I43" s="107">
        <v>0</v>
      </c>
      <c r="J43" s="105">
        <v>0</v>
      </c>
      <c r="K43" s="106">
        <v>0</v>
      </c>
      <c r="L43" s="13">
        <f>L4/D56*D43</f>
        <v>40327.019296903214</v>
      </c>
      <c r="M43" s="8">
        <f t="shared" si="1"/>
        <v>21970.160112952868</v>
      </c>
      <c r="N43" s="8">
        <f t="shared" si="2"/>
        <v>150436.74425892037</v>
      </c>
      <c r="O43" s="12">
        <f>122840.16+3505.56</f>
        <v>126345.72</v>
      </c>
      <c r="P43" s="12">
        <f>124105.75+3287.98</f>
        <v>127393.73</v>
      </c>
      <c r="Q43" s="3">
        <f t="shared" si="0"/>
        <v>-23043.014258920375</v>
      </c>
      <c r="R43" s="9" t="s">
        <v>119</v>
      </c>
    </row>
    <row r="44" spans="1:18" s="22" customFormat="1" ht="52.5" customHeight="1" thickBot="1">
      <c r="A44" s="20">
        <v>32</v>
      </c>
      <c r="B44" s="5" t="s">
        <v>39</v>
      </c>
      <c r="C44" s="15">
        <v>1988</v>
      </c>
      <c r="D44" s="15">
        <v>373.2</v>
      </c>
      <c r="E44" s="7">
        <f>E4/D77*D44</f>
        <v>21718.353963768102</v>
      </c>
      <c r="F44" s="7">
        <f>(F4/G4*D44)</f>
        <v>20445.242410746927</v>
      </c>
      <c r="G44" s="7">
        <f>4155.81+30.01</f>
        <v>4185.820000000001</v>
      </c>
      <c r="H44" s="7">
        <v>0</v>
      </c>
      <c r="I44" s="107">
        <v>0</v>
      </c>
      <c r="J44" s="105">
        <v>951.35</v>
      </c>
      <c r="K44" s="106">
        <v>0</v>
      </c>
      <c r="L44" s="13">
        <f>L4/D56*D44</f>
        <v>24313.479162527106</v>
      </c>
      <c r="M44" s="8">
        <f t="shared" si="1"/>
        <v>13245.983447744766</v>
      </c>
      <c r="N44" s="8">
        <f t="shared" si="2"/>
        <v>71614.24553704214</v>
      </c>
      <c r="O44" s="12">
        <f>67625.64+1896</f>
        <v>69521.64</v>
      </c>
      <c r="P44" s="12">
        <f>58212.59+1636.59</f>
        <v>59849.17999999999</v>
      </c>
      <c r="Q44" s="3">
        <f t="shared" si="0"/>
        <v>-11765.065537042145</v>
      </c>
      <c r="R44" s="21" t="s">
        <v>97</v>
      </c>
    </row>
    <row r="45" spans="1:18" s="22" customFormat="1" ht="41.25" customHeight="1" thickBot="1">
      <c r="A45" s="20">
        <v>33</v>
      </c>
      <c r="B45" s="5" t="s">
        <v>26</v>
      </c>
      <c r="C45" s="15">
        <v>1964</v>
      </c>
      <c r="D45" s="15">
        <v>376.6</v>
      </c>
      <c r="E45" s="7">
        <f>E4/D77*D45</f>
        <v>21916.216781230087</v>
      </c>
      <c r="F45" s="7">
        <v>0</v>
      </c>
      <c r="G45" s="7">
        <f>6635.88+30.29</f>
        <v>6666.17</v>
      </c>
      <c r="H45" s="7">
        <v>0</v>
      </c>
      <c r="I45" s="107">
        <v>55800</v>
      </c>
      <c r="J45" s="105">
        <v>951.35</v>
      </c>
      <c r="K45" s="106">
        <v>0</v>
      </c>
      <c r="L45" s="13">
        <f>L4/D56*D45</f>
        <v>24534.984599699113</v>
      </c>
      <c r="M45" s="8">
        <f t="shared" si="1"/>
        <v>13366.659609916076</v>
      </c>
      <c r="N45" s="8">
        <f t="shared" si="2"/>
        <v>109868.7213809292</v>
      </c>
      <c r="O45" s="12">
        <f>46824.06+2155.2</f>
        <v>48979.259999999995</v>
      </c>
      <c r="P45" s="12">
        <f>55735.94+2370.25</f>
        <v>58106.19</v>
      </c>
      <c r="Q45" s="3">
        <f t="shared" si="0"/>
        <v>-51762.5313809292</v>
      </c>
      <c r="R45" s="21"/>
    </row>
    <row r="46" spans="1:18" s="22" customFormat="1" ht="45" customHeight="1" thickBot="1">
      <c r="A46" s="20">
        <v>34</v>
      </c>
      <c r="B46" s="5" t="s">
        <v>27</v>
      </c>
      <c r="C46" s="15">
        <v>1954</v>
      </c>
      <c r="D46" s="15">
        <v>400.3</v>
      </c>
      <c r="E46" s="7">
        <f>E4/D77*D46</f>
        <v>23295.437008832723</v>
      </c>
      <c r="F46" s="7">
        <v>0</v>
      </c>
      <c r="G46" s="7">
        <f>-1785.99+32.19</f>
        <v>-1753.8</v>
      </c>
      <c r="H46" s="7">
        <v>1100</v>
      </c>
      <c r="I46" s="107">
        <v>0</v>
      </c>
      <c r="J46" s="105">
        <v>2134.34</v>
      </c>
      <c r="K46" s="106">
        <v>0</v>
      </c>
      <c r="L46" s="13">
        <f>L4/D56*D46</f>
        <v>26079.00779410397</v>
      </c>
      <c r="M46" s="8">
        <f t="shared" si="1"/>
        <v>14207.843446227842</v>
      </c>
      <c r="N46" s="8">
        <f t="shared" si="2"/>
        <v>50854.9848029367</v>
      </c>
      <c r="O46" s="12">
        <f>48062.34+2282.16</f>
        <v>50344.5</v>
      </c>
      <c r="P46" s="12">
        <f>44735.49+2131.08</f>
        <v>46866.57</v>
      </c>
      <c r="Q46" s="3">
        <f t="shared" si="0"/>
        <v>-3988.414802936699</v>
      </c>
      <c r="R46" s="21"/>
    </row>
    <row r="47" spans="1:18" s="22" customFormat="1" ht="52.5" customHeight="1" thickBot="1">
      <c r="A47" s="20">
        <v>35</v>
      </c>
      <c r="B47" s="5" t="s">
        <v>29</v>
      </c>
      <c r="C47" s="15">
        <v>1970</v>
      </c>
      <c r="D47" s="15">
        <v>708.6</v>
      </c>
      <c r="E47" s="7">
        <f>E4/D77*D47</f>
        <v>41236.93895692947</v>
      </c>
      <c r="F47" s="7">
        <v>0</v>
      </c>
      <c r="G47" s="7">
        <f>548.73+56.99</f>
        <v>605.72</v>
      </c>
      <c r="H47" s="7">
        <v>0</v>
      </c>
      <c r="I47" s="107">
        <v>0</v>
      </c>
      <c r="J47" s="105">
        <v>1941.44</v>
      </c>
      <c r="K47" s="106">
        <v>0</v>
      </c>
      <c r="L47" s="13">
        <f>L4/D56*D47</f>
        <v>46164.33905296546</v>
      </c>
      <c r="M47" s="8">
        <f t="shared" si="1"/>
        <v>25150.33191605558</v>
      </c>
      <c r="N47" s="8">
        <f t="shared" si="2"/>
        <v>89948.43800989493</v>
      </c>
      <c r="O47" s="12">
        <f>106512.72+3109.08</f>
        <v>109621.8</v>
      </c>
      <c r="P47" s="12">
        <f>105922.83+3097.97</f>
        <v>109020.8</v>
      </c>
      <c r="Q47" s="3">
        <f t="shared" si="0"/>
        <v>19072.36199010507</v>
      </c>
      <c r="R47" s="21" t="s">
        <v>86</v>
      </c>
    </row>
    <row r="48" spans="1:18" s="22" customFormat="1" ht="52.5" customHeight="1" thickBot="1">
      <c r="A48" s="20">
        <v>36</v>
      </c>
      <c r="B48" s="5" t="s">
        <v>30</v>
      </c>
      <c r="C48" s="15">
        <v>1983</v>
      </c>
      <c r="D48" s="15">
        <v>383.1</v>
      </c>
      <c r="E48" s="7">
        <f>E4/D77*D48</f>
        <v>22294.483932260348</v>
      </c>
      <c r="F48" s="7">
        <f>(F4/G4*D48)</f>
        <v>20987.60012743073</v>
      </c>
      <c r="G48" s="7">
        <f>1998.78+30.81</f>
        <v>2029.59</v>
      </c>
      <c r="H48" s="7">
        <v>1054</v>
      </c>
      <c r="I48" s="107">
        <v>262.5</v>
      </c>
      <c r="J48" s="105">
        <v>804.15</v>
      </c>
      <c r="K48" s="106">
        <v>2880</v>
      </c>
      <c r="L48" s="13">
        <f>L4/D56*D48</f>
        <v>24958.450876645595</v>
      </c>
      <c r="M48" s="8">
        <f t="shared" si="1"/>
        <v>13597.364037596519</v>
      </c>
      <c r="N48" s="8">
        <f t="shared" si="2"/>
        <v>75270.77493633667</v>
      </c>
      <c r="O48" s="12">
        <f>76519.75+1884.96</f>
        <v>78404.71</v>
      </c>
      <c r="P48" s="12">
        <f>74428.93+1840.37</f>
        <v>76269.29999999999</v>
      </c>
      <c r="Q48" s="3">
        <f t="shared" si="0"/>
        <v>998.5250636633136</v>
      </c>
      <c r="R48" s="21" t="s">
        <v>87</v>
      </c>
    </row>
    <row r="49" spans="1:18" s="22" customFormat="1" ht="52.5" customHeight="1" thickBot="1">
      <c r="A49" s="20">
        <v>37</v>
      </c>
      <c r="B49" s="26" t="s">
        <v>31</v>
      </c>
      <c r="C49" s="15">
        <v>1987</v>
      </c>
      <c r="D49" s="15">
        <v>4309.4</v>
      </c>
      <c r="E49" s="7">
        <f>E4/D77*D49</f>
        <v>250785.3016384305</v>
      </c>
      <c r="F49" s="7">
        <f>(F4/G4*D49)</f>
        <v>236084.47921991642</v>
      </c>
      <c r="G49" s="7">
        <f>27844.79+346.59</f>
        <v>28191.38</v>
      </c>
      <c r="H49" s="7">
        <v>17724.65</v>
      </c>
      <c r="I49" s="107">
        <v>24235.93</v>
      </c>
      <c r="J49" s="105">
        <v>7654.18</v>
      </c>
      <c r="K49" s="106">
        <v>28800</v>
      </c>
      <c r="L49" s="13">
        <f>L4/D56*D49</f>
        <v>280751.6267497168</v>
      </c>
      <c r="M49" s="8">
        <f t="shared" si="1"/>
        <v>152953.4862532457</v>
      </c>
      <c r="N49" s="8">
        <f t="shared" si="2"/>
        <v>874227.5476080639</v>
      </c>
      <c r="O49" s="12">
        <f>861239.22+28717.74</f>
        <v>889956.96</v>
      </c>
      <c r="P49" s="12">
        <f>851257.33+28466.61</f>
        <v>879723.94</v>
      </c>
      <c r="Q49" s="3">
        <f t="shared" si="0"/>
        <v>5496.392391936039</v>
      </c>
      <c r="R49" s="9" t="s">
        <v>102</v>
      </c>
    </row>
    <row r="50" spans="1:18" s="22" customFormat="1" ht="52.5" customHeight="1" thickBot="1">
      <c r="A50" s="20">
        <v>38</v>
      </c>
      <c r="B50" s="5" t="s">
        <v>32</v>
      </c>
      <c r="C50" s="15">
        <v>1986</v>
      </c>
      <c r="D50" s="15">
        <v>841.6</v>
      </c>
      <c r="E50" s="7">
        <f>E4/D77*D50</f>
        <v>48976.866816471695</v>
      </c>
      <c r="F50" s="7">
        <f>(F4/G4*D50)</f>
        <v>46105.88427889768</v>
      </c>
      <c r="G50" s="7">
        <f>4565.85+67.69</f>
        <v>4633.54</v>
      </c>
      <c r="H50" s="7">
        <v>3788.04</v>
      </c>
      <c r="I50" s="107">
        <v>67468.37</v>
      </c>
      <c r="J50" s="105">
        <v>1728</v>
      </c>
      <c r="K50" s="106">
        <v>6480</v>
      </c>
      <c r="L50" s="13">
        <f>L4/D56*D50</f>
        <v>54829.11056587035</v>
      </c>
      <c r="M50" s="8">
        <f t="shared" si="1"/>
        <v>29870.899436286167</v>
      </c>
      <c r="N50" s="8">
        <f t="shared" si="2"/>
        <v>234009.8116612397</v>
      </c>
      <c r="O50" s="12">
        <f>168101.1+4191.18</f>
        <v>172292.28</v>
      </c>
      <c r="P50" s="12">
        <f>162619.97+4034.91</f>
        <v>166654.88</v>
      </c>
      <c r="Q50" s="3">
        <f t="shared" si="0"/>
        <v>-67354.93166123971</v>
      </c>
      <c r="R50" s="9" t="s">
        <v>103</v>
      </c>
    </row>
    <row r="51" spans="1:19" s="22" customFormat="1" ht="52.5" customHeight="1" thickBot="1">
      <c r="A51" s="20">
        <v>39</v>
      </c>
      <c r="B51" s="24" t="s">
        <v>33</v>
      </c>
      <c r="C51" s="15">
        <v>1987</v>
      </c>
      <c r="D51" s="15">
        <v>872.5</v>
      </c>
      <c r="E51" s="7">
        <f>E4/D77*D51</f>
        <v>50775.09065752324</v>
      </c>
      <c r="F51" s="7">
        <f>(F4/G4*D51)</f>
        <v>47798.697758244096</v>
      </c>
      <c r="G51" s="7">
        <f>5348.82+70.17</f>
        <v>5418.99</v>
      </c>
      <c r="H51" s="7">
        <v>8082</v>
      </c>
      <c r="I51" s="107">
        <v>262.5</v>
      </c>
      <c r="J51" s="105">
        <v>1728</v>
      </c>
      <c r="K51" s="106">
        <v>6480</v>
      </c>
      <c r="L51" s="13">
        <f>L4/D56*D51</f>
        <v>56842.20409781592</v>
      </c>
      <c r="M51" s="8">
        <f t="shared" si="1"/>
        <v>30967.63279249011</v>
      </c>
      <c r="N51" s="8">
        <f t="shared" si="2"/>
        <v>177387.48251358327</v>
      </c>
      <c r="O51" s="12">
        <f>173913.36+4440.36</f>
        <v>178353.71999999997</v>
      </c>
      <c r="P51" s="12">
        <f>166982.67+4267.56</f>
        <v>171250.23</v>
      </c>
      <c r="Q51" s="3">
        <f t="shared" si="0"/>
        <v>-6137.252513583255</v>
      </c>
      <c r="R51" s="9" t="s">
        <v>110</v>
      </c>
      <c r="S51" s="22" t="s">
        <v>106</v>
      </c>
    </row>
    <row r="52" spans="1:18" s="22" customFormat="1" ht="52.5" customHeight="1" thickBot="1">
      <c r="A52" s="20">
        <v>40</v>
      </c>
      <c r="B52" s="24" t="s">
        <v>34</v>
      </c>
      <c r="C52" s="15">
        <v>1983</v>
      </c>
      <c r="D52" s="15">
        <v>826.2</v>
      </c>
      <c r="E52" s="7">
        <f>E4/D77*D52</f>
        <v>48080.664643261545</v>
      </c>
      <c r="F52" s="7">
        <f>(F4/G4*D52)</f>
        <v>45262.21671961177</v>
      </c>
      <c r="G52" s="7">
        <f>2596.73+66.45</f>
        <v>2663.18</v>
      </c>
      <c r="H52" s="7">
        <v>5090.53</v>
      </c>
      <c r="I52" s="107">
        <v>262.5</v>
      </c>
      <c r="J52" s="105">
        <v>1728</v>
      </c>
      <c r="K52" s="106">
        <v>6480</v>
      </c>
      <c r="L52" s="13">
        <f>L4/D56*D52</f>
        <v>53825.821232797156</v>
      </c>
      <c r="M52" s="8">
        <f t="shared" si="1"/>
        <v>29324.307407627886</v>
      </c>
      <c r="N52" s="8">
        <f t="shared" si="2"/>
        <v>163392.91259567047</v>
      </c>
      <c r="O52" s="12">
        <f>165145.32+4465.17</f>
        <v>169610.49000000002</v>
      </c>
      <c r="P52" s="12">
        <f>161260.32+4372.27</f>
        <v>165632.59</v>
      </c>
      <c r="Q52" s="3">
        <f t="shared" si="0"/>
        <v>2239.67740432953</v>
      </c>
      <c r="R52" s="9" t="s">
        <v>122</v>
      </c>
    </row>
    <row r="53" spans="1:18" s="22" customFormat="1" ht="52.5" customHeight="1" thickBot="1">
      <c r="A53" s="20">
        <v>41</v>
      </c>
      <c r="B53" s="5" t="s">
        <v>35</v>
      </c>
      <c r="C53" s="15">
        <v>1987</v>
      </c>
      <c r="D53" s="15">
        <v>4280.1</v>
      </c>
      <c r="E53" s="7">
        <f>E4/D77*D53</f>
        <v>249080.18971147874</v>
      </c>
      <c r="F53" s="7">
        <f>(F4/G4*D53)</f>
        <v>234479.31951296338</v>
      </c>
      <c r="G53" s="7">
        <f>29002.15+344.23</f>
        <v>29346.38</v>
      </c>
      <c r="H53" s="7">
        <v>12232.98</v>
      </c>
      <c r="I53" s="107">
        <v>0</v>
      </c>
      <c r="J53" s="105">
        <v>7654.18</v>
      </c>
      <c r="K53" s="106">
        <v>28800</v>
      </c>
      <c r="L53" s="13">
        <f>L4/D56*D53</f>
        <v>278842.7710705581</v>
      </c>
      <c r="M53" s="8">
        <f t="shared" si="1"/>
        <v>151913.54167924004</v>
      </c>
      <c r="N53" s="8">
        <f t="shared" si="2"/>
        <v>840435.8202950003</v>
      </c>
      <c r="O53" s="12">
        <f>854507.94+27209.04</f>
        <v>881716.98</v>
      </c>
      <c r="P53" s="12">
        <f>816302.67+26100.34</f>
        <v>842403.01</v>
      </c>
      <c r="Q53" s="3">
        <f t="shared" si="0"/>
        <v>1967.189704999677</v>
      </c>
      <c r="R53" s="9" t="s">
        <v>104</v>
      </c>
    </row>
    <row r="54" spans="1:18" s="22" customFormat="1" ht="53.25" customHeight="1" thickBot="1">
      <c r="A54" s="20">
        <v>42</v>
      </c>
      <c r="B54" s="27" t="s">
        <v>36</v>
      </c>
      <c r="C54" s="28">
        <v>1985</v>
      </c>
      <c r="D54" s="28">
        <v>4234.9</v>
      </c>
      <c r="E54" s="12">
        <f>E4/D77*D54</f>
        <v>246449.77813816062</v>
      </c>
      <c r="F54" s="12">
        <f>(F4/G4*D54)</f>
        <v>232003.10044285146</v>
      </c>
      <c r="G54" s="12">
        <f>29673.4+340.59</f>
        <v>30013.99</v>
      </c>
      <c r="H54" s="12">
        <v>11333.18</v>
      </c>
      <c r="I54" s="107">
        <v>18575.37</v>
      </c>
      <c r="J54" s="105">
        <v>7654.18</v>
      </c>
      <c r="K54" s="106">
        <v>28800</v>
      </c>
      <c r="L54" s="13">
        <f>L4/D56*D54</f>
        <v>275898.0517293302</v>
      </c>
      <c r="M54" s="12">
        <f t="shared" si="1"/>
        <v>150309.2585821391</v>
      </c>
      <c r="N54" s="12">
        <f t="shared" si="2"/>
        <v>850727.6503103423</v>
      </c>
      <c r="O54" s="12">
        <f>846430.22+23900.64</f>
        <v>870330.86</v>
      </c>
      <c r="P54" s="12">
        <f>841439.33+23864.84</f>
        <v>865304.1699999999</v>
      </c>
      <c r="Q54" s="3">
        <f t="shared" si="0"/>
        <v>14576.519689657609</v>
      </c>
      <c r="R54" s="21" t="s">
        <v>88</v>
      </c>
    </row>
    <row r="55" spans="1:18" s="22" customFormat="1" ht="52.5" customHeight="1" thickBot="1">
      <c r="A55" s="20">
        <v>43</v>
      </c>
      <c r="B55" s="24" t="s">
        <v>37</v>
      </c>
      <c r="C55" s="15">
        <v>1986</v>
      </c>
      <c r="D55" s="15">
        <v>843.8</v>
      </c>
      <c r="E55" s="7">
        <f>E4/D77*D55</f>
        <v>49104.89569835886</v>
      </c>
      <c r="F55" s="7">
        <f>(F4/G4*D55)</f>
        <v>46226.40821593853</v>
      </c>
      <c r="G55" s="7">
        <f>12463.4+67.86</f>
        <v>12531.26</v>
      </c>
      <c r="H55" s="7">
        <v>19042.04</v>
      </c>
      <c r="I55" s="107">
        <v>300.84</v>
      </c>
      <c r="J55" s="105">
        <v>1728</v>
      </c>
      <c r="K55" s="106">
        <v>6480</v>
      </c>
      <c r="L55" s="13">
        <f>L4/D56*D55</f>
        <v>54972.43761345223</v>
      </c>
      <c r="M55" s="8">
        <f t="shared" si="1"/>
        <v>29948.984011808774</v>
      </c>
      <c r="N55" s="8">
        <f t="shared" si="2"/>
        <v>190385.88152774962</v>
      </c>
      <c r="O55" s="12">
        <f>168281.04+4397.64</f>
        <v>172678.68000000002</v>
      </c>
      <c r="P55" s="12">
        <f>161505.7+4214.92</f>
        <v>165720.62000000002</v>
      </c>
      <c r="Q55" s="3">
        <f t="shared" si="0"/>
        <v>-24665.261527749593</v>
      </c>
      <c r="R55" s="21" t="s">
        <v>89</v>
      </c>
    </row>
    <row r="56" spans="1:18" s="1" customFormat="1" ht="43.5" customHeight="1" thickBot="1">
      <c r="A56" s="33"/>
      <c r="B56" s="34" t="s">
        <v>66</v>
      </c>
      <c r="C56" s="35"/>
      <c r="D56" s="36">
        <f aca="true" t="shared" si="3" ref="D56:K56">SUM(D13:D55)</f>
        <v>65606.90000000001</v>
      </c>
      <c r="E56" s="3">
        <f>SUM(E13:E55)</f>
        <v>3817990.023219555</v>
      </c>
      <c r="F56" s="3">
        <f t="shared" si="3"/>
        <v>3502891.2710727863</v>
      </c>
      <c r="G56" s="3">
        <f>SUM(G13:G55)</f>
        <v>1053381.4760000003</v>
      </c>
      <c r="H56" s="3">
        <f t="shared" si="3"/>
        <v>320426.88999999996</v>
      </c>
      <c r="I56" s="49">
        <f t="shared" si="3"/>
        <v>357890.6099999999</v>
      </c>
      <c r="J56" s="49">
        <f t="shared" si="3"/>
        <v>121919.33000000002</v>
      </c>
      <c r="K56" s="49">
        <f t="shared" si="3"/>
        <v>283680</v>
      </c>
      <c r="L56" s="3">
        <f aca="true" t="shared" si="4" ref="L56:Q56">SUM(L13:L55)</f>
        <v>4274201.489999999</v>
      </c>
      <c r="M56" s="3">
        <f t="shared" si="4"/>
        <v>2328584.971751999</v>
      </c>
      <c r="N56" s="3">
        <f t="shared" si="4"/>
        <v>13732381.090292344</v>
      </c>
      <c r="O56" s="3">
        <f t="shared" si="4"/>
        <v>13736239.22</v>
      </c>
      <c r="P56" s="3">
        <f t="shared" si="4"/>
        <v>13153262.14</v>
      </c>
      <c r="Q56" s="3">
        <f t="shared" si="4"/>
        <v>-579118.9502923412</v>
      </c>
      <c r="R56" s="21"/>
    </row>
    <row r="57" spans="1:18" s="1" customFormat="1" ht="52.5" customHeight="1" thickBot="1">
      <c r="A57" s="4" t="s">
        <v>2</v>
      </c>
      <c r="B57" s="5" t="s">
        <v>67</v>
      </c>
      <c r="C57" s="6">
        <v>1973</v>
      </c>
      <c r="D57" s="29">
        <v>331.1</v>
      </c>
      <c r="E57" s="7">
        <f>E4/D77*D57+E3/D72*D57</f>
        <v>25505.107275662118</v>
      </c>
      <c r="F57" s="7">
        <v>0</v>
      </c>
      <c r="G57" s="7">
        <f>2115.93+27.5</f>
        <v>2143.43</v>
      </c>
      <c r="H57" s="108">
        <v>0</v>
      </c>
      <c r="I57" s="107">
        <v>0</v>
      </c>
      <c r="J57" s="7">
        <v>982.34</v>
      </c>
      <c r="K57" s="7"/>
      <c r="L57" s="7">
        <f>L3/D72*D57</f>
        <v>21683.879795974943</v>
      </c>
      <c r="M57" s="7">
        <f>L57*54.48%</f>
        <v>11813.377712847148</v>
      </c>
      <c r="N57" s="8">
        <f t="shared" si="2"/>
        <v>50314.75707163706</v>
      </c>
      <c r="O57" s="12">
        <f>63850.62+1491.96</f>
        <v>65342.58</v>
      </c>
      <c r="P57" s="12">
        <f>72593.85+1583.55</f>
        <v>74177.40000000001</v>
      </c>
      <c r="Q57" s="3">
        <f aca="true" t="shared" si="5" ref="Q57:Q71">P57-N57</f>
        <v>23862.642928362948</v>
      </c>
      <c r="R57" s="9" t="s">
        <v>124</v>
      </c>
    </row>
    <row r="58" spans="1:18" s="1" customFormat="1" ht="52.5" customHeight="1" thickBot="1">
      <c r="A58" s="4">
        <v>2</v>
      </c>
      <c r="B58" s="5" t="s">
        <v>68</v>
      </c>
      <c r="C58" s="6">
        <v>1976</v>
      </c>
      <c r="D58" s="6">
        <v>371.4</v>
      </c>
      <c r="E58" s="7">
        <f>E4/D77*D58+E3/D72*D58</f>
        <v>28609.47400235853</v>
      </c>
      <c r="F58" s="7">
        <v>0</v>
      </c>
      <c r="G58" s="7">
        <f>2491.98+30.85</f>
        <v>2522.83</v>
      </c>
      <c r="H58" s="108">
        <v>0</v>
      </c>
      <c r="I58" s="107">
        <v>0</v>
      </c>
      <c r="J58" s="7">
        <v>982.34</v>
      </c>
      <c r="K58" s="7"/>
      <c r="L58" s="7">
        <f>L3/D72*D58</f>
        <v>24323.143933026557</v>
      </c>
      <c r="M58" s="7">
        <f aca="true" t="shared" si="6" ref="M58:M71">L58*54.48%</f>
        <v>13251.248814712866</v>
      </c>
      <c r="N58" s="8">
        <f t="shared" si="2"/>
        <v>56437.78793538509</v>
      </c>
      <c r="O58" s="12">
        <f>64983.24+1474.92</f>
        <v>66458.16</v>
      </c>
      <c r="P58" s="12">
        <f>61839.97+1476.75</f>
        <v>63316.72</v>
      </c>
      <c r="Q58" s="3">
        <f t="shared" si="5"/>
        <v>6878.9320646149135</v>
      </c>
      <c r="R58" s="21" t="s">
        <v>90</v>
      </c>
    </row>
    <row r="59" spans="1:18" s="1" customFormat="1" ht="52.5" customHeight="1" thickBot="1">
      <c r="A59" s="4">
        <v>3</v>
      </c>
      <c r="B59" s="5" t="s">
        <v>69</v>
      </c>
      <c r="C59" s="6">
        <v>1975</v>
      </c>
      <c r="D59" s="6">
        <v>371.4</v>
      </c>
      <c r="E59" s="7">
        <f>E4/D77*D59+E3/D72*D59</f>
        <v>28609.47400235853</v>
      </c>
      <c r="F59" s="7">
        <v>0</v>
      </c>
      <c r="G59" s="7">
        <f>919.07+30.85</f>
        <v>949.9200000000001</v>
      </c>
      <c r="H59" s="108">
        <v>0</v>
      </c>
      <c r="I59" s="107">
        <v>0</v>
      </c>
      <c r="J59" s="7">
        <v>982.34</v>
      </c>
      <c r="K59" s="7"/>
      <c r="L59" s="7">
        <f>L3/D72*D59</f>
        <v>24323.143933026557</v>
      </c>
      <c r="M59" s="7">
        <f t="shared" si="6"/>
        <v>13251.248814712866</v>
      </c>
      <c r="N59" s="8">
        <f t="shared" si="2"/>
        <v>54864.877935385084</v>
      </c>
      <c r="O59" s="12">
        <f>46360.08+1216.56</f>
        <v>47576.64</v>
      </c>
      <c r="P59" s="12">
        <f>34020.99+706.38</f>
        <v>34727.369999999995</v>
      </c>
      <c r="Q59" s="3">
        <f t="shared" si="5"/>
        <v>-20137.50793538509</v>
      </c>
      <c r="R59" s="9" t="s">
        <v>105</v>
      </c>
    </row>
    <row r="60" spans="1:18" s="1" customFormat="1" ht="52.5" customHeight="1" thickBot="1">
      <c r="A60" s="4">
        <v>4</v>
      </c>
      <c r="B60" s="5" t="s">
        <v>70</v>
      </c>
      <c r="C60" s="6">
        <v>1986</v>
      </c>
      <c r="D60" s="6">
        <v>496.8</v>
      </c>
      <c r="E60" s="7">
        <f>E4/D77*D60+E3/D72*D60</f>
        <v>38269.21562835681</v>
      </c>
      <c r="F60" s="7">
        <v>0</v>
      </c>
      <c r="G60" s="7">
        <f>2844.29+41.26</f>
        <v>2885.55</v>
      </c>
      <c r="H60" s="108">
        <v>579</v>
      </c>
      <c r="I60" s="107">
        <v>1365.47</v>
      </c>
      <c r="J60" s="7">
        <v>982.34</v>
      </c>
      <c r="K60" s="7"/>
      <c r="L60" s="7">
        <f>L3/D72*D60</f>
        <v>32535.643257747968</v>
      </c>
      <c r="M60" s="7">
        <f t="shared" si="6"/>
        <v>17725.41844682109</v>
      </c>
      <c r="N60" s="8">
        <f t="shared" si="2"/>
        <v>76617.21888610478</v>
      </c>
      <c r="O60" s="12">
        <f>89336.78+1938.2</f>
        <v>91274.98</v>
      </c>
      <c r="P60" s="12">
        <f>79162.01+1724.65</f>
        <v>80886.65999999999</v>
      </c>
      <c r="Q60" s="3">
        <f t="shared" si="5"/>
        <v>4269.441113895213</v>
      </c>
      <c r="R60" s="9" t="s">
        <v>125</v>
      </c>
    </row>
    <row r="61" spans="1:18" s="1" customFormat="1" ht="52.5" customHeight="1" thickBot="1">
      <c r="A61" s="4">
        <v>5</v>
      </c>
      <c r="B61" s="5" t="s">
        <v>71</v>
      </c>
      <c r="C61" s="6">
        <v>1981</v>
      </c>
      <c r="D61" s="6">
        <v>500.6</v>
      </c>
      <c r="E61" s="7">
        <f>E4/D77*D61+E3/D72*D61</f>
        <v>38561.93507156888</v>
      </c>
      <c r="F61" s="7">
        <v>0</v>
      </c>
      <c r="G61" s="7">
        <f>939+41.58</f>
        <v>980.58</v>
      </c>
      <c r="H61" s="108">
        <v>324</v>
      </c>
      <c r="I61" s="107">
        <v>0</v>
      </c>
      <c r="J61" s="7">
        <v>982.34</v>
      </c>
      <c r="K61" s="7"/>
      <c r="L61" s="7">
        <f>L3/D72*D61</f>
        <v>32784.506873648614</v>
      </c>
      <c r="M61" s="7">
        <f t="shared" si="6"/>
        <v>17860.999344763764</v>
      </c>
      <c r="N61" s="8">
        <f t="shared" si="2"/>
        <v>73633.36194521749</v>
      </c>
      <c r="O61" s="12">
        <f>86590.38+1849.68</f>
        <v>88440.06</v>
      </c>
      <c r="P61" s="12">
        <f>83502.71+1787.96</f>
        <v>85290.67000000001</v>
      </c>
      <c r="Q61" s="3">
        <f t="shared" si="5"/>
        <v>11657.308054782523</v>
      </c>
      <c r="R61" s="9" t="s">
        <v>126</v>
      </c>
    </row>
    <row r="62" spans="1:18" s="1" customFormat="1" ht="52.5" customHeight="1" thickBot="1">
      <c r="A62" s="4">
        <v>6</v>
      </c>
      <c r="B62" s="5" t="s">
        <v>72</v>
      </c>
      <c r="C62" s="6">
        <v>1985</v>
      </c>
      <c r="D62" s="6">
        <v>491.2</v>
      </c>
      <c r="E62" s="7">
        <f>E4/D77*D62+E3/D72*D62</f>
        <v>37837.839606781126</v>
      </c>
      <c r="F62" s="7">
        <v>0</v>
      </c>
      <c r="G62" s="7">
        <f>1467.66+40.8</f>
        <v>1508.46</v>
      </c>
      <c r="H62" s="108">
        <v>0</v>
      </c>
      <c r="I62" s="107">
        <v>0</v>
      </c>
      <c r="J62" s="7">
        <v>982.34</v>
      </c>
      <c r="K62" s="7"/>
      <c r="L62" s="7">
        <f>L3/D72*D62</f>
        <v>32168.896876420695</v>
      </c>
      <c r="M62" s="7">
        <f t="shared" si="6"/>
        <v>17525.61501827399</v>
      </c>
      <c r="N62" s="8">
        <f t="shared" si="2"/>
        <v>72497.53648320181</v>
      </c>
      <c r="O62" s="12">
        <f>88981.2+1989.96</f>
        <v>90971.16</v>
      </c>
      <c r="P62" s="12">
        <f>84317.68+1926.72</f>
        <v>86244.4</v>
      </c>
      <c r="Q62" s="3">
        <f t="shared" si="5"/>
        <v>13746.863516798185</v>
      </c>
      <c r="R62" s="9" t="s">
        <v>132</v>
      </c>
    </row>
    <row r="63" spans="1:18" s="1" customFormat="1" ht="52.5" customHeight="1" thickBot="1">
      <c r="A63" s="4">
        <v>7</v>
      </c>
      <c r="B63" s="5" t="s">
        <v>73</v>
      </c>
      <c r="C63" s="6">
        <v>1966</v>
      </c>
      <c r="D63" s="6">
        <v>358.1</v>
      </c>
      <c r="E63" s="7">
        <f>E4/D77*D63+E3/D72*D63</f>
        <v>27584.95595111629</v>
      </c>
      <c r="F63" s="7">
        <v>0</v>
      </c>
      <c r="G63" s="7">
        <f>1576.84+29.74</f>
        <v>1606.58</v>
      </c>
      <c r="H63" s="108">
        <v>0</v>
      </c>
      <c r="I63" s="107">
        <v>45694.74</v>
      </c>
      <c r="J63" s="7">
        <v>982.34</v>
      </c>
      <c r="K63" s="7"/>
      <c r="L63" s="7">
        <f>L3/D72*D63</f>
        <v>23452.121277374292</v>
      </c>
      <c r="M63" s="7">
        <f t="shared" si="6"/>
        <v>12776.715671913513</v>
      </c>
      <c r="N63" s="8">
        <f t="shared" si="2"/>
        <v>99320.73722849057</v>
      </c>
      <c r="O63" s="12">
        <f>65522.52+1421.58</f>
        <v>66944.09999999999</v>
      </c>
      <c r="P63" s="12">
        <f>58202.16+1268.55</f>
        <v>59470.71000000001</v>
      </c>
      <c r="Q63" s="3">
        <f t="shared" si="5"/>
        <v>-39850.027228490566</v>
      </c>
      <c r="R63" s="9" t="s">
        <v>127</v>
      </c>
    </row>
    <row r="64" spans="1:18" s="1" customFormat="1" ht="52.5" customHeight="1" thickBot="1">
      <c r="A64" s="4">
        <v>8</v>
      </c>
      <c r="B64" s="5" t="s">
        <v>74</v>
      </c>
      <c r="C64" s="6">
        <v>1985</v>
      </c>
      <c r="D64" s="6">
        <v>485.2</v>
      </c>
      <c r="E64" s="7">
        <f>E4/D77*D64+E3/D72*D64</f>
        <v>37375.65101223576</v>
      </c>
      <c r="F64" s="7">
        <v>0</v>
      </c>
      <c r="G64" s="7">
        <f>1452.32+40.3</f>
        <v>1492.62</v>
      </c>
      <c r="H64" s="108"/>
      <c r="I64" s="107">
        <v>5867.45</v>
      </c>
      <c r="J64" s="7">
        <v>982.34</v>
      </c>
      <c r="K64" s="7"/>
      <c r="L64" s="7">
        <f>L3/D72*D64</f>
        <v>31775.954324998616</v>
      </c>
      <c r="M64" s="7">
        <f t="shared" si="6"/>
        <v>17311.539916259244</v>
      </c>
      <c r="N64" s="8">
        <f t="shared" si="2"/>
        <v>77494.01533723436</v>
      </c>
      <c r="O64" s="12">
        <f>87902.58+1965.9</f>
        <v>89868.48</v>
      </c>
      <c r="P64" s="12">
        <f>70129.46+1517.99</f>
        <v>71647.45000000001</v>
      </c>
      <c r="Q64" s="3">
        <f t="shared" si="5"/>
        <v>-5846.565337234351</v>
      </c>
      <c r="R64" s="9" t="s">
        <v>131</v>
      </c>
    </row>
    <row r="65" spans="1:18" s="1" customFormat="1" ht="30.75" customHeight="1" thickBot="1">
      <c r="A65" s="4">
        <v>9</v>
      </c>
      <c r="B65" s="5" t="s">
        <v>75</v>
      </c>
      <c r="C65" s="6">
        <v>1962</v>
      </c>
      <c r="D65" s="29">
        <v>378</v>
      </c>
      <c r="E65" s="7">
        <f>E4/D77*D65+E3/D72*D65</f>
        <v>29117.881456358442</v>
      </c>
      <c r="F65" s="7">
        <v>0</v>
      </c>
      <c r="G65" s="7">
        <f>-578.74+31.4</f>
        <v>-547.34</v>
      </c>
      <c r="H65" s="108">
        <v>0</v>
      </c>
      <c r="I65" s="107">
        <v>17000</v>
      </c>
      <c r="J65" s="7">
        <v>106.33</v>
      </c>
      <c r="K65" s="7"/>
      <c r="L65" s="7">
        <f>L3/D72*D65</f>
        <v>24755.380739590844</v>
      </c>
      <c r="M65" s="7">
        <f t="shared" si="6"/>
        <v>13486.731426929091</v>
      </c>
      <c r="N65" s="8">
        <f t="shared" si="2"/>
        <v>70432.25219594929</v>
      </c>
      <c r="O65" s="12">
        <f>6152.46+1102.08</f>
        <v>7254.54</v>
      </c>
      <c r="P65" s="12">
        <f>6116.79+201.31</f>
        <v>6318.1</v>
      </c>
      <c r="Q65" s="3">
        <f t="shared" si="5"/>
        <v>-64114.15219594929</v>
      </c>
      <c r="R65" s="21"/>
    </row>
    <row r="66" spans="1:18" s="1" customFormat="1" ht="52.5" customHeight="1" thickBot="1">
      <c r="A66" s="4">
        <v>10</v>
      </c>
      <c r="B66" s="5" t="s">
        <v>76</v>
      </c>
      <c r="C66" s="6">
        <v>1963</v>
      </c>
      <c r="D66" s="6">
        <v>362.7</v>
      </c>
      <c r="E66" s="7">
        <f>E4/D77*D66+E3/D72*D66</f>
        <v>27939.300540267745</v>
      </c>
      <c r="F66" s="7">
        <v>0</v>
      </c>
      <c r="G66" s="7">
        <f>5510.97+30.13</f>
        <v>5541.1</v>
      </c>
      <c r="H66" s="108">
        <v>0</v>
      </c>
      <c r="I66" s="107">
        <v>0</v>
      </c>
      <c r="J66" s="7">
        <v>982.34</v>
      </c>
      <c r="K66" s="7"/>
      <c r="L66" s="7">
        <f>L3/D72*D66</f>
        <v>23753.377233464547</v>
      </c>
      <c r="M66" s="7">
        <f t="shared" si="6"/>
        <v>12940.839916791485</v>
      </c>
      <c r="N66" s="8">
        <f t="shared" si="2"/>
        <v>58216.11777373229</v>
      </c>
      <c r="O66" s="12">
        <f>65362.59+1439.76</f>
        <v>66802.34999999999</v>
      </c>
      <c r="P66" s="12">
        <f>59968.44+1328.16</f>
        <v>61296.600000000006</v>
      </c>
      <c r="Q66" s="3">
        <f t="shared" si="5"/>
        <v>3080.482226267719</v>
      </c>
      <c r="R66" s="21" t="s">
        <v>93</v>
      </c>
    </row>
    <row r="67" spans="1:18" s="1" customFormat="1" ht="52.5" customHeight="1" thickBot="1">
      <c r="A67" s="4">
        <v>11</v>
      </c>
      <c r="B67" s="5" t="s">
        <v>77</v>
      </c>
      <c r="C67" s="6">
        <v>1968</v>
      </c>
      <c r="D67" s="6">
        <v>361.7</v>
      </c>
      <c r="E67" s="7">
        <f>E4/D77*D67+E3/D72*D67</f>
        <v>27862.269107843513</v>
      </c>
      <c r="F67" s="7">
        <v>0</v>
      </c>
      <c r="G67" s="7">
        <f>722.4+30.04</f>
        <v>752.4399999999999</v>
      </c>
      <c r="H67" s="108">
        <v>0</v>
      </c>
      <c r="I67" s="107">
        <v>0</v>
      </c>
      <c r="J67" s="7">
        <v>982.34</v>
      </c>
      <c r="K67" s="7"/>
      <c r="L67" s="7">
        <f>L3/D72*D67</f>
        <v>23687.886808227533</v>
      </c>
      <c r="M67" s="7">
        <f t="shared" si="6"/>
        <v>12905.160733122359</v>
      </c>
      <c r="N67" s="8">
        <f t="shared" si="2"/>
        <v>53284.935916071045</v>
      </c>
      <c r="O67" s="12">
        <f>57289.5+1415.04</f>
        <v>58704.54</v>
      </c>
      <c r="P67" s="12">
        <f>50650.95+1369.05</f>
        <v>52020</v>
      </c>
      <c r="Q67" s="3">
        <f t="shared" si="5"/>
        <v>-1264.9359160710446</v>
      </c>
      <c r="R67" s="21" t="s">
        <v>92</v>
      </c>
    </row>
    <row r="68" spans="1:18" s="1" customFormat="1" ht="52.5" customHeight="1" thickBot="1">
      <c r="A68" s="4">
        <v>12</v>
      </c>
      <c r="B68" s="5" t="s">
        <v>78</v>
      </c>
      <c r="C68" s="6">
        <v>1969</v>
      </c>
      <c r="D68" s="29">
        <v>336</v>
      </c>
      <c r="E68" s="7">
        <f>E4/D77*D68+E3/D72*D68</f>
        <v>25882.561294540836</v>
      </c>
      <c r="F68" s="7">
        <v>0</v>
      </c>
      <c r="G68" s="7">
        <f>1581.51+27.91</f>
        <v>1609.42</v>
      </c>
      <c r="H68" s="108">
        <v>0</v>
      </c>
      <c r="I68" s="107">
        <v>6854.19</v>
      </c>
      <c r="J68" s="7">
        <v>982.34</v>
      </c>
      <c r="K68" s="7"/>
      <c r="L68" s="7">
        <f>L3/D72*D68</f>
        <v>22004.782879636306</v>
      </c>
      <c r="M68" s="7">
        <f t="shared" si="6"/>
        <v>11988.205712825858</v>
      </c>
      <c r="N68" s="8">
        <f t="shared" si="2"/>
        <v>57333.294174177136</v>
      </c>
      <c r="O68" s="12">
        <f>63419.34+1460.7</f>
        <v>64880.03999999999</v>
      </c>
      <c r="P68" s="12">
        <f>37428.83+865.25</f>
        <v>38294.08</v>
      </c>
      <c r="Q68" s="3">
        <f t="shared" si="5"/>
        <v>-19039.214174177134</v>
      </c>
      <c r="R68" s="9" t="s">
        <v>123</v>
      </c>
    </row>
    <row r="69" spans="1:18" s="1" customFormat="1" ht="52.5" customHeight="1" thickBot="1">
      <c r="A69" s="4">
        <v>13</v>
      </c>
      <c r="B69" s="5" t="s">
        <v>79</v>
      </c>
      <c r="C69" s="6">
        <v>1971</v>
      </c>
      <c r="D69" s="29">
        <v>750.2</v>
      </c>
      <c r="E69" s="7">
        <f>E4/D77*D69+E3/D72*D69</f>
        <v>57788.98060465636</v>
      </c>
      <c r="F69" s="7">
        <v>0</v>
      </c>
      <c r="G69" s="7">
        <f>16526.43+62.31</f>
        <v>16588.74</v>
      </c>
      <c r="H69" s="108">
        <v>0</v>
      </c>
      <c r="I69" s="107">
        <v>0</v>
      </c>
      <c r="J69" s="7">
        <v>1933.69</v>
      </c>
      <c r="K69" s="7"/>
      <c r="L69" s="7">
        <f>L3/D72*D69</f>
        <v>49130.91701280702</v>
      </c>
      <c r="M69" s="7">
        <f t="shared" si="6"/>
        <v>26766.52358857726</v>
      </c>
      <c r="N69" s="8">
        <f t="shared" si="2"/>
        <v>125442.3276174634</v>
      </c>
      <c r="O69" s="12">
        <f>130645.62+3242.52</f>
        <v>133888.13999999998</v>
      </c>
      <c r="P69" s="12">
        <f>91302.3+1808.09</f>
        <v>93110.39</v>
      </c>
      <c r="Q69" s="3">
        <f t="shared" si="5"/>
        <v>-32331.937617463394</v>
      </c>
      <c r="R69" s="9" t="s">
        <v>128</v>
      </c>
    </row>
    <row r="70" spans="1:18" s="1" customFormat="1" ht="52.5" customHeight="1" thickBot="1">
      <c r="A70" s="4">
        <v>14</v>
      </c>
      <c r="B70" s="5" t="s">
        <v>80</v>
      </c>
      <c r="C70" s="6">
        <v>1979</v>
      </c>
      <c r="D70" s="6">
        <v>810.2</v>
      </c>
      <c r="E70" s="7">
        <f>E4/D77*D70+E3/D72*D70</f>
        <v>62410.866550110084</v>
      </c>
      <c r="F70" s="7">
        <v>0</v>
      </c>
      <c r="G70" s="7">
        <f>16306.39+67.29</f>
        <v>16373.68</v>
      </c>
      <c r="H70" s="108">
        <v>1333</v>
      </c>
      <c r="I70" s="107">
        <v>0</v>
      </c>
      <c r="J70" s="7">
        <v>1983.66</v>
      </c>
      <c r="K70" s="7"/>
      <c r="L70" s="7">
        <f>L3/D72*D70</f>
        <v>53060.34252702779</v>
      </c>
      <c r="M70" s="7">
        <f t="shared" si="6"/>
        <v>28907.274608724736</v>
      </c>
      <c r="N70" s="8">
        <f t="shared" si="2"/>
        <v>135161.54907713787</v>
      </c>
      <c r="O70" s="12">
        <f>140403.42+3093.32</f>
        <v>143496.74000000002</v>
      </c>
      <c r="P70" s="12">
        <f>112433.28+2458.34</f>
        <v>114891.62</v>
      </c>
      <c r="Q70" s="3">
        <f t="shared" si="5"/>
        <v>-20269.929077137873</v>
      </c>
      <c r="R70" s="21" t="s">
        <v>91</v>
      </c>
    </row>
    <row r="71" spans="1:18" s="1" customFormat="1" ht="52.5" customHeight="1" thickBot="1">
      <c r="A71" s="4">
        <v>15</v>
      </c>
      <c r="B71" s="5" t="s">
        <v>81</v>
      </c>
      <c r="C71" s="6">
        <v>1979</v>
      </c>
      <c r="D71" s="6">
        <v>810.2</v>
      </c>
      <c r="E71" s="7">
        <f>E4/D77*D71+E3/D72*D71</f>
        <v>62410.866550110084</v>
      </c>
      <c r="F71" s="7">
        <v>0</v>
      </c>
      <c r="G71" s="7">
        <f>3747.5+67.29</f>
        <v>3814.79</v>
      </c>
      <c r="H71" s="7">
        <v>324</v>
      </c>
      <c r="I71" s="107">
        <v>30470</v>
      </c>
      <c r="J71" s="7">
        <v>1983.66</v>
      </c>
      <c r="K71" s="7"/>
      <c r="L71" s="7">
        <f>L3/D72*D71</f>
        <v>53060.34252702779</v>
      </c>
      <c r="M71" s="7">
        <f t="shared" si="6"/>
        <v>28907.274608724736</v>
      </c>
      <c r="N71" s="8">
        <f t="shared" si="2"/>
        <v>152063.65907713788</v>
      </c>
      <c r="O71" s="12">
        <f>127984.12+2870.6</f>
        <v>130854.72</v>
      </c>
      <c r="P71" s="12">
        <f>103307+1912.73</f>
        <v>105219.73</v>
      </c>
      <c r="Q71" s="3">
        <f t="shared" si="5"/>
        <v>-46843.92907713789</v>
      </c>
      <c r="R71" s="9" t="s">
        <v>107</v>
      </c>
    </row>
    <row r="72" spans="1:18" s="1" customFormat="1" ht="39" customHeight="1" thickBot="1">
      <c r="A72" s="33"/>
      <c r="B72" s="34" t="s">
        <v>38</v>
      </c>
      <c r="C72" s="35"/>
      <c r="D72" s="36">
        <f>SUM(D57:D71)</f>
        <v>7214.799999999999</v>
      </c>
      <c r="E72" s="3">
        <f>SUM(E57:E71)</f>
        <v>555766.3786543251</v>
      </c>
      <c r="F72" s="3">
        <f aca="true" t="shared" si="7" ref="F72:Q72">SUM(F57:F71)</f>
        <v>0</v>
      </c>
      <c r="G72" s="3">
        <f>SUM(G57:G71)</f>
        <v>58222.8</v>
      </c>
      <c r="H72" s="3">
        <f t="shared" si="7"/>
        <v>2560</v>
      </c>
      <c r="I72" s="49">
        <f t="shared" si="7"/>
        <v>107251.85</v>
      </c>
      <c r="J72" s="3">
        <f t="shared" si="7"/>
        <v>16813.08</v>
      </c>
      <c r="K72" s="3">
        <f t="shared" si="7"/>
        <v>0</v>
      </c>
      <c r="L72" s="3">
        <f t="shared" si="7"/>
        <v>472500.3200000001</v>
      </c>
      <c r="M72" s="3">
        <f t="shared" si="7"/>
        <v>257418.174336</v>
      </c>
      <c r="N72" s="3">
        <f>SUM(N57:N71)</f>
        <v>1213114.4286543252</v>
      </c>
      <c r="O72" s="3">
        <f>SUM(O57:O71)</f>
        <v>1212757.23</v>
      </c>
      <c r="P72" s="3">
        <f>SUM(P57:P71)</f>
        <v>1026911.8999999999</v>
      </c>
      <c r="Q72" s="3">
        <f t="shared" si="7"/>
        <v>-186202.5286543251</v>
      </c>
      <c r="R72" s="21"/>
    </row>
    <row r="73" spans="1:19" s="1" customFormat="1" ht="52.5" customHeight="1" thickBot="1">
      <c r="A73" s="4" t="s">
        <v>2</v>
      </c>
      <c r="B73" s="26" t="s">
        <v>151</v>
      </c>
      <c r="C73" s="6">
        <v>1966</v>
      </c>
      <c r="D73" s="29">
        <v>434.8</v>
      </c>
      <c r="E73" s="7">
        <f>E4/D77*D73</f>
        <v>25303.162656608714</v>
      </c>
      <c r="F73" s="7">
        <v>0</v>
      </c>
      <c r="G73" s="7">
        <f>13072.94+47.18</f>
        <v>13120.12</v>
      </c>
      <c r="H73" s="108">
        <v>0</v>
      </c>
      <c r="I73" s="107">
        <v>4799.49</v>
      </c>
      <c r="J73" s="7">
        <v>1279.83</v>
      </c>
      <c r="K73" s="7"/>
      <c r="L73" s="7">
        <f>L2/D76*D73</f>
        <v>33490.991395221594</v>
      </c>
      <c r="M73" s="7">
        <f>L73*54.5%</f>
        <v>18252.59031039577</v>
      </c>
      <c r="N73" s="7">
        <f>SUM(E73:L73)</f>
        <v>77993.59405183031</v>
      </c>
      <c r="O73" s="7">
        <f>64285.86+2390.52</f>
        <v>66676.38</v>
      </c>
      <c r="P73" s="7">
        <f>42058.64+1718.86</f>
        <v>43777.5</v>
      </c>
      <c r="Q73" s="2">
        <f>P73-N73</f>
        <v>-34216.09405183031</v>
      </c>
      <c r="R73" s="9" t="s">
        <v>135</v>
      </c>
      <c r="S73" s="10" t="s">
        <v>134</v>
      </c>
    </row>
    <row r="74" spans="1:18" s="1" customFormat="1" ht="78.75" customHeight="1" thickBot="1">
      <c r="A74" s="4">
        <v>2</v>
      </c>
      <c r="B74" s="26" t="s">
        <v>153</v>
      </c>
      <c r="C74" s="6">
        <v>1956</v>
      </c>
      <c r="D74" s="6">
        <v>380.7</v>
      </c>
      <c r="E74" s="7">
        <f>E4/D77*D74</f>
        <v>22154.81606111071</v>
      </c>
      <c r="F74" s="7">
        <v>0</v>
      </c>
      <c r="G74" s="7">
        <f>-11450.21+41.31</f>
        <v>-11408.9</v>
      </c>
      <c r="H74" s="108">
        <v>0</v>
      </c>
      <c r="I74" s="107">
        <v>0</v>
      </c>
      <c r="J74" s="7">
        <v>951.35</v>
      </c>
      <c r="K74" s="7"/>
      <c r="L74" s="7">
        <f>L2/D76*D74</f>
        <v>29323.874020609153</v>
      </c>
      <c r="M74" s="7">
        <f>L74*54.5%</f>
        <v>15981.51134123199</v>
      </c>
      <c r="N74" s="7">
        <f>SUM(E74:L74)</f>
        <v>41021.14008171986</v>
      </c>
      <c r="O74" s="7">
        <f>49243.2+1553.28</f>
        <v>50796.479999999996</v>
      </c>
      <c r="P74" s="7">
        <f>42395.16+1265.23</f>
        <v>43660.39000000001</v>
      </c>
      <c r="Q74" s="2">
        <f>P74-N74</f>
        <v>2639.2499182801475</v>
      </c>
      <c r="R74" s="9" t="s">
        <v>136</v>
      </c>
    </row>
    <row r="75" spans="1:18" s="1" customFormat="1" ht="54.75" customHeight="1">
      <c r="A75" s="4">
        <v>3</v>
      </c>
      <c r="B75" s="26" t="s">
        <v>152</v>
      </c>
      <c r="C75" s="6">
        <v>1962</v>
      </c>
      <c r="D75" s="6">
        <v>281.1</v>
      </c>
      <c r="E75" s="7">
        <f>E4/D77*D75</f>
        <v>16358.599408400896</v>
      </c>
      <c r="F75" s="7">
        <v>0</v>
      </c>
      <c r="G75" s="7">
        <f>347.04+30.5</f>
        <v>377.54</v>
      </c>
      <c r="H75" s="108">
        <v>0</v>
      </c>
      <c r="I75" s="107">
        <v>0</v>
      </c>
      <c r="J75" s="7">
        <v>951.35</v>
      </c>
      <c r="K75" s="7"/>
      <c r="L75" s="7">
        <f>L2/D76*D75</f>
        <v>21652.064584169253</v>
      </c>
      <c r="M75" s="7">
        <f>L75*54.5%</f>
        <v>11800.375198372243</v>
      </c>
      <c r="N75" s="7">
        <f>SUM(E75:L75)</f>
        <v>39339.553992570145</v>
      </c>
      <c r="O75" s="7">
        <f>40119.1+776.28</f>
        <v>40895.38</v>
      </c>
      <c r="P75" s="7">
        <f>35768.72+694.21</f>
        <v>36462.93</v>
      </c>
      <c r="Q75" s="2">
        <f>P75-N75</f>
        <v>-2876.6239925701448</v>
      </c>
      <c r="R75" s="9" t="s">
        <v>133</v>
      </c>
    </row>
    <row r="76" spans="1:18" s="1" customFormat="1" ht="41.25" customHeight="1">
      <c r="A76" s="33"/>
      <c r="B76" s="34" t="s">
        <v>38</v>
      </c>
      <c r="C76" s="35"/>
      <c r="D76" s="36">
        <f aca="true" t="shared" si="8" ref="D76:Q76">SUM(D73:D75)</f>
        <v>1096.6</v>
      </c>
      <c r="E76" s="3">
        <f t="shared" si="8"/>
        <v>63816.57812612032</v>
      </c>
      <c r="F76" s="3">
        <f t="shared" si="8"/>
        <v>0</v>
      </c>
      <c r="G76" s="3">
        <f t="shared" si="8"/>
        <v>2088.760000000001</v>
      </c>
      <c r="H76" s="3">
        <f t="shared" si="8"/>
        <v>0</v>
      </c>
      <c r="I76" s="49">
        <f t="shared" si="8"/>
        <v>4799.49</v>
      </c>
      <c r="J76" s="3">
        <f t="shared" si="8"/>
        <v>3182.5299999999997</v>
      </c>
      <c r="K76" s="3">
        <f t="shared" si="8"/>
        <v>0</v>
      </c>
      <c r="L76" s="3">
        <f t="shared" si="8"/>
        <v>84466.93</v>
      </c>
      <c r="M76" s="3">
        <f t="shared" si="8"/>
        <v>46034.47685000001</v>
      </c>
      <c r="N76" s="3">
        <f t="shared" si="8"/>
        <v>158354.28812612031</v>
      </c>
      <c r="O76" s="3">
        <f t="shared" si="8"/>
        <v>158368.24</v>
      </c>
      <c r="P76" s="3">
        <f t="shared" si="8"/>
        <v>123900.82</v>
      </c>
      <c r="Q76" s="3">
        <f t="shared" si="8"/>
        <v>-34453.46812612031</v>
      </c>
      <c r="R76" s="37"/>
    </row>
    <row r="77" spans="1:18" s="1" customFormat="1" ht="42" customHeight="1" thickBot="1">
      <c r="A77" s="38">
        <v>61</v>
      </c>
      <c r="B77" s="39" t="s">
        <v>82</v>
      </c>
      <c r="C77" s="40"/>
      <c r="D77" s="41">
        <f>D76+D72+D56</f>
        <v>73918.3</v>
      </c>
      <c r="E77" s="41">
        <f aca="true" t="shared" si="9" ref="E77:Q77">E76+E72+E56</f>
        <v>4437572.98</v>
      </c>
      <c r="F77" s="41">
        <f t="shared" si="9"/>
        <v>3502891.2710727863</v>
      </c>
      <c r="G77" s="41">
        <f t="shared" si="9"/>
        <v>1113693.0360000003</v>
      </c>
      <c r="H77" s="41">
        <f t="shared" si="9"/>
        <v>322986.88999999996</v>
      </c>
      <c r="I77" s="49">
        <f t="shared" si="9"/>
        <v>469941.94999999995</v>
      </c>
      <c r="J77" s="41">
        <f t="shared" si="9"/>
        <v>141914.94</v>
      </c>
      <c r="K77" s="41">
        <f t="shared" si="9"/>
        <v>283680</v>
      </c>
      <c r="L77" s="41">
        <f t="shared" si="9"/>
        <v>4831168.739999999</v>
      </c>
      <c r="M77" s="41">
        <f t="shared" si="9"/>
        <v>2632037.622937999</v>
      </c>
      <c r="N77" s="41">
        <f t="shared" si="9"/>
        <v>15103849.807072788</v>
      </c>
      <c r="O77" s="41">
        <f t="shared" si="9"/>
        <v>15107364.690000001</v>
      </c>
      <c r="P77" s="41">
        <f t="shared" si="9"/>
        <v>14304074.860000001</v>
      </c>
      <c r="Q77" s="41">
        <f t="shared" si="9"/>
        <v>-799774.9470727866</v>
      </c>
      <c r="R77" s="42"/>
    </row>
    <row r="78" spans="1:18" ht="34.5" customHeight="1">
      <c r="A78" s="77" t="s">
        <v>65</v>
      </c>
      <c r="B78" s="77"/>
      <c r="C78" s="77"/>
      <c r="D78" s="77"/>
      <c r="E78" s="77"/>
      <c r="F78" s="77"/>
      <c r="G78" s="77"/>
      <c r="H78" s="77"/>
      <c r="I78" s="78"/>
      <c r="J78" s="77"/>
      <c r="K78" s="77"/>
      <c r="L78" s="77"/>
      <c r="M78" s="77"/>
      <c r="N78" s="77"/>
      <c r="O78" s="77"/>
      <c r="P78" s="77"/>
      <c r="Q78" s="77"/>
      <c r="R78" s="77"/>
    </row>
    <row r="79" spans="1:14" ht="52.5" customHeight="1">
      <c r="A79" s="50" t="s">
        <v>145</v>
      </c>
      <c r="B79" s="51"/>
      <c r="C79" s="52"/>
      <c r="D79" s="53"/>
      <c r="L79"/>
      <c r="M79"/>
      <c r="N79"/>
    </row>
    <row r="80" spans="1:14" ht="52.5" customHeight="1">
      <c r="A80" s="50" t="s">
        <v>94</v>
      </c>
      <c r="B80" s="51"/>
      <c r="C80" s="52"/>
      <c r="D80" s="53"/>
      <c r="L80"/>
      <c r="M80"/>
      <c r="N80"/>
    </row>
    <row r="81" spans="1:14" ht="52.5" customHeight="1">
      <c r="A81" s="50" t="s">
        <v>144</v>
      </c>
      <c r="B81" s="51"/>
      <c r="C81" s="52"/>
      <c r="D81" s="53"/>
      <c r="L81"/>
      <c r="M81"/>
      <c r="N81"/>
    </row>
    <row r="82" spans="1:14" ht="52.5" customHeight="1">
      <c r="A82" s="54"/>
      <c r="B82" s="51"/>
      <c r="C82" s="52"/>
      <c r="D82" s="53"/>
      <c r="L82"/>
      <c r="M82"/>
      <c r="N82"/>
    </row>
    <row r="83" spans="1:14" ht="52.5" customHeight="1">
      <c r="A83" s="55"/>
      <c r="B83" s="56"/>
      <c r="C83" s="57"/>
      <c r="D83" s="58"/>
      <c r="L83"/>
      <c r="M83"/>
      <c r="N83"/>
    </row>
    <row r="84" spans="2:14" ht="52.5" customHeight="1">
      <c r="B84" s="59"/>
      <c r="C84" s="59"/>
      <c r="D84" s="59"/>
      <c r="L84"/>
      <c r="M84"/>
      <c r="N84"/>
    </row>
    <row r="85" spans="2:14" ht="52.5" customHeight="1">
      <c r="B85" s="59"/>
      <c r="C85" s="59"/>
      <c r="D85" s="59"/>
      <c r="L85"/>
      <c r="M85"/>
      <c r="N85"/>
    </row>
    <row r="86" spans="12:14" ht="52.5" customHeight="1">
      <c r="L86"/>
      <c r="M86"/>
      <c r="N86"/>
    </row>
    <row r="87" spans="12:14" ht="52.5" customHeight="1">
      <c r="L87"/>
      <c r="M87"/>
      <c r="N87"/>
    </row>
    <row r="88" spans="12:14" ht="52.5" customHeight="1">
      <c r="L88"/>
      <c r="M88"/>
      <c r="N88"/>
    </row>
  </sheetData>
  <sheetProtection/>
  <mergeCells count="21">
    <mergeCell ref="Q10:Q11"/>
    <mergeCell ref="N10:N11"/>
    <mergeCell ref="A8:Q8"/>
    <mergeCell ref="R8:R11"/>
    <mergeCell ref="A10:A11"/>
    <mergeCell ref="H10:H11"/>
    <mergeCell ref="I10:I11"/>
    <mergeCell ref="J10:J11"/>
    <mergeCell ref="L10:M10"/>
    <mergeCell ref="E9:Q9"/>
    <mergeCell ref="A9:D9"/>
    <mergeCell ref="B10:B11"/>
    <mergeCell ref="A78:R78"/>
    <mergeCell ref="C10:C11"/>
    <mergeCell ref="D10:D11"/>
    <mergeCell ref="O10:O11"/>
    <mergeCell ref="P10:P11"/>
    <mergeCell ref="K10:K11"/>
    <mergeCell ref="E10:E11"/>
    <mergeCell ref="F10:F11"/>
    <mergeCell ref="G10:G11"/>
  </mergeCells>
  <printOptions/>
  <pageMargins left="0.1968503937007874" right="0" top="0.15748031496062992" bottom="0.1968503937007874" header="0" footer="0"/>
  <pageSetup horizontalDpi="600" verticalDpi="600" orientation="landscape" paperSize="9" scale="75" r:id="rId1"/>
  <rowBreaks count="1" manualBreakCount="1">
    <brk id="77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Buch</dc:creator>
  <cp:keywords/>
  <dc:description/>
  <cp:lastModifiedBy>Buch</cp:lastModifiedBy>
  <cp:lastPrinted>2019-04-04T07:55:39Z</cp:lastPrinted>
  <dcterms:created xsi:type="dcterms:W3CDTF">2011-01-17T06:18:12Z</dcterms:created>
  <dcterms:modified xsi:type="dcterms:W3CDTF">2020-03-16T06:27:23Z</dcterms:modified>
  <cp:category/>
  <cp:version/>
  <cp:contentType/>
  <cp:contentStatus/>
</cp:coreProperties>
</file>