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'Sheet1'!$A$1:$Q$79</definedName>
  </definedNames>
  <calcPr fullCalcOnLoad="1"/>
</workbook>
</file>

<file path=xl/sharedStrings.xml><?xml version="1.0" encoding="utf-8"?>
<sst xmlns="http://schemas.openxmlformats.org/spreadsheetml/2006/main" count="161" uniqueCount="158">
  <si>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</si>
  <si>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</si>
  <si>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</si>
  <si>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</si>
  <si>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</si>
  <si>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</si>
  <si>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</si>
  <si>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8-ми- квартирный жилой дом №29,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</si>
  <si>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</si>
  <si>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</si>
  <si>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</si>
  <si>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</si>
  <si>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</si>
  <si>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</si>
  <si>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</si>
  <si>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</si>
  <si>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</si>
  <si>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</si>
  <si>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</si>
  <si>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</si>
  <si>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</si>
  <si>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</si>
  <si>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</si>
  <si>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</si>
  <si>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</si>
  <si>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</si>
  <si>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</si>
  <si>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</si>
  <si>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</si>
  <si>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</si>
  <si>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</si>
  <si>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</si>
  <si>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</si>
  <si>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</si>
  <si>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</si>
  <si>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</si>
  <si>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</si>
  <si>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</si>
  <si>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</si>
  <si>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>Итого по многоквартирным жилым домам:</t>
  </si>
  <si>
    <t xml:space="preserve">8-ми- квартирный жилой дом №2А, ул.Марьинская </t>
  </si>
  <si>
    <t>8-ми- квартирный жилой дом №27, ул. Красноармейская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</si>
  <si>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</si>
  <si>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</si>
  <si>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</si>
  <si>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</si>
  <si>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</si>
  <si>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Обслуживание фасадных и внутренних газопроводов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</si>
  <si>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</si>
  <si>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</si>
  <si>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</si>
  <si>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</si>
  <si>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</si>
  <si>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</si>
  <si>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</si>
  <si>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</si>
  <si>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</si>
  <si>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</si>
  <si>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</si>
  <si>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</si>
  <si>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</si>
  <si>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</si>
  <si>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</si>
  <si>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</si>
  <si>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</si>
  <si>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</si>
  <si>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</si>
  <si>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</si>
  <si>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</si>
  <si>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Итого по многоквартирным жилым домам п. Кардымово:</t>
  </si>
  <si>
    <t>8-ми квартирный жилой дом № 3 , ул. Магистральная</t>
  </si>
  <si>
    <t>8-ми квартирный жилой дом № 2 , ул. Магистральная</t>
  </si>
  <si>
    <t>8-ми квартирный жилой дом № 4 , ул. Магистральная</t>
  </si>
  <si>
    <t>8-ми квартирный жилой дом № 9 , ул. Магистральная</t>
  </si>
  <si>
    <t>8-ми квартирный жилой дом № 10 , ул. Магистральная</t>
  </si>
  <si>
    <t>8-ми квартирный жилой дом № 4, ул. Садовая</t>
  </si>
  <si>
    <t>8-ми квартирный жилой дом № 1, ул. Садовая</t>
  </si>
  <si>
    <t>8-ми квартирный жилой дом № 5, ул. Садовая</t>
  </si>
  <si>
    <t>8-ми квартирный жилой дом № 1, ул. Школьная</t>
  </si>
  <si>
    <t>8-ми квартирный жилой дом № 3, ул. Школьная</t>
  </si>
  <si>
    <t>8-ми квартирный жилой дом № 16, ул. Центральная</t>
  </si>
  <si>
    <t>8-ми квартирный жилой дом № 14, ул. Центральная</t>
  </si>
  <si>
    <t>16-ти квартирный жилой дом № 6/2, ул. Магистральная</t>
  </si>
  <si>
    <t>18-ти квартирный жилой дом № 7, ул. Магистральная</t>
  </si>
  <si>
    <t>18-ти квартирный жилой дом № 8, ул. Магистральная</t>
  </si>
  <si>
    <t>12-ти квартирный жилой дом № 31 , ул. Льнозаводская</t>
  </si>
  <si>
    <t>18-ти квартирный жилой дом № 14 , ул. Школа-интернат</t>
  </si>
  <si>
    <t>18-ти квартирный жилой дом № 15 , ул. Школа-интернат</t>
  </si>
  <si>
    <t>Всего по МКД, находящимся в управлении: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</si>
  <si>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</si>
  <si>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</si>
  <si>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</si>
  <si>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</si>
  <si>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</si>
  <si>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</si>
  <si>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</si>
  <si>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Установка железной двери с доводчиком-10900руб. Кап. ремонт кровли 362м² - 227533руб.</t>
  </si>
  <si>
    <t>Установка 3х железных дверей - 45000 руб</t>
  </si>
  <si>
    <t>Установка 2х железных дверей с доводч.- 27400 р.</t>
  </si>
  <si>
    <r>
      <t>Установка 2х железных дверей с доводч.- 27400р. Кап. ремонт кровли 380м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- 194539р.</t>
    </r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</si>
  <si>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</si>
  <si>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</si>
  <si>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</si>
  <si>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</si>
  <si>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</si>
  <si>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</si>
  <si>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</si>
  <si>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</si>
  <si>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</si>
  <si>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</si>
  <si>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</si>
  <si>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>Установка железной двери-  15000руб.                                            Замена козырька-  7590руб.                                                     Кап. ремонт кровли 365м² - 186768р.</t>
  </si>
  <si>
    <t xml:space="preserve"> </t>
  </si>
  <si>
    <t>Установка железных дверей - 36500 р.                                   Кап. ремонт кровли - 381189 р.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</si>
  <si>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</si>
  <si>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</si>
  <si>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</si>
  <si>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</si>
  <si>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</si>
  <si>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</si>
  <si>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</si>
  <si>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</si>
  <si>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</si>
  <si>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</si>
  <si>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</si>
  <si>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</si>
  <si>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</si>
  <si>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</si>
  <si>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</si>
  <si>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2х железных дверей с доводч.- 27400 р.                                                Ремонт кровли  351кв.м. - 244510р.</t>
  </si>
  <si>
    <t>Установка железной двери с доводчиком 10900руб.                                                       Ремонт кровли  345 кв.м. - 298050р.</t>
  </si>
  <si>
    <t>Замена внутридомового водопровода 35мп-19988р.                               Ремонт межпанельных швов 260 кв.м.-194615руб.                                                    Установка  дверных блоков  4шт. - 61600р.</t>
  </si>
  <si>
    <t>Замена внутридомового водопровода 33мп-19571р.                                        Ремонт межпанельных швов 260 кв.м.  - 194615р.                                     Установка  дверных блоков  4шт. - 49600р.</t>
  </si>
  <si>
    <r>
      <t>Кап. ремонт кровли 390м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- 237800р.                                                          Установка дверных блоков 2шт. - 43800р.                                        Установка окон 2шт. - 38850р.</t>
    </r>
  </si>
  <si>
    <r>
      <t>Установка 2х железных дверей - 30000 руб.                               Установка 2х железных козырьков  - 10000руб.                        Выборочный ремонт кровли  - 67673</t>
    </r>
    <r>
      <rPr>
        <sz val="11"/>
        <rFont val="Arial"/>
        <family val="2"/>
      </rPr>
      <t xml:space="preserve"> р.              </t>
    </r>
    <r>
      <rPr>
        <sz val="10"/>
        <rFont val="Arial"/>
        <family val="2"/>
      </rPr>
      <t xml:space="preserve">                                                   </t>
    </r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</si>
  <si>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</si>
  <si>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</si>
  <si>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r>
      <t>Кап. ремонт кровли 342м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- 323142р.                                                                Ремонт межпанельных швов 377 м.п. - 301191р.</t>
    </r>
  </si>
  <si>
    <t xml:space="preserve">Кап. ремонт кровли 287 м² - 155791р.                                                                      Ремонт межпанельных швов 388м.п. - 310206р. </t>
  </si>
  <si>
    <t>Установка металл. дверного блока-9000руб.                              Замена  козырька - 7200руб.                              Восстановление вент. шахт - 73187 руб.</t>
  </si>
  <si>
    <t xml:space="preserve">  </t>
  </si>
  <si>
    <t>Установка 2х металл. дверных блоков-24000руб .                                        Замена 2х козырьков - 13400руб.                                                              Замена 2х окннных блоков - 13400 руб.                                       Замена перилл 5м -14700руб.                                            Кап. ремонт кровли 414 кв.м.- 392338 руб.</t>
  </si>
  <si>
    <t>Установка 2х металл. дверных блоков-29000руб.                                                                                                                             Замена 2х козырьков - 14400руб.                                           Замена 2х окннных блоков - 13400 руб.                                     Кап. ремонт кровли 442,75 кв.м.- 387100 руб.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</si>
  <si>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</si>
  <si>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</si>
  <si>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АРЖ</t>
  </si>
  <si>
    <t>з/п Каменское с\п по обслуживанию</t>
  </si>
  <si>
    <t>з п дворников</t>
  </si>
  <si>
    <t>текущий ремонт+ тех обсл</t>
  </si>
  <si>
    <t>площадь санит обслуж м2</t>
  </si>
  <si>
    <t>Березкино затраты по управ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</si>
  <si>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</si>
  <si>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</si>
  <si>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Сведения о выполненных работах по капитальному ремонту конструктивных элементов за период с 01.01.2008г. По 30.09.2014г.</t>
  </si>
  <si>
    <t>ЛИЦЕВЫЕ СЧЕТА ПО МНОГОКВАРТИРНЫМ ДОМАМ ЗА 2016Г.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</si>
  <si>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</si>
  <si>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</si>
  <si>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>Установка 4-х дверных блоков - 95240р.                                Софинансирование  стоимости работ по капитальному ремонту - 553322руб.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</si>
</sst>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6" fillId="33" borderId="12" xfId="0" applyNumberFormat="1" applyFont="1" applyFill="1" applyBorder="1" applyAlignment="1" applyProtection="1">
      <alignment horizontal="center" vertical="top"/>
      <protection/>
    </xf>
    <xf numFmtId="2" fontId="8" fillId="33" borderId="13" xfId="0" applyNumberFormat="1" applyFont="1" applyFill="1" applyBorder="1" applyAlignment="1" applyProtection="1">
      <alignment horizontal="center" vertical="top"/>
      <protection/>
    </xf>
    <xf numFmtId="2" fontId="6" fillId="33" borderId="13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164" fontId="0" fillId="0" borderId="23" xfId="0" applyNumberFormat="1" applyFill="1" applyBorder="1" applyAlignment="1" applyProtection="1">
      <alignment horizontal="left"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2" fontId="6" fillId="0" borderId="13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2" fontId="6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164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64" fontId="1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164" fontId="6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64" fontId="1" fillId="0" borderId="13" xfId="0" applyNumberFormat="1" applyFont="1" applyFill="1" applyBorder="1" applyAlignment="1" applyProtection="1">
      <alignment horizontal="center" vertical="top"/>
      <protection/>
    </xf>
    <xf numFmtId="2" fontId="8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3" xfId="0" applyNumberFormat="1" applyFont="1" applyFill="1" applyBorder="1" applyAlignment="1" applyProtection="1">
      <alignment horizontal="left" vertical="top"/>
      <protection/>
    </xf>
    <xf numFmtId="0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164" fontId="0" fillId="33" borderId="23" xfId="0" applyNumberFormat="1" applyFont="1" applyFill="1" applyBorder="1" applyAlignment="1" applyProtection="1">
      <alignment horizontal="left" vertical="center" wrapText="1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 wrapText="1"/>
      <protection/>
    </xf>
    <xf numFmtId="2" fontId="6" fillId="0" borderId="13" xfId="0" applyNumberFormat="1" applyFont="1" applyFill="1" applyBorder="1" applyAlignment="1" applyProtection="1">
      <alignment horizontal="center" vertical="top" wrapText="1"/>
      <protection/>
    </xf>
    <xf numFmtId="2" fontId="1" fillId="0" borderId="13" xfId="0" applyNumberFormat="1" applyFont="1" applyFill="1" applyBorder="1" applyAlignment="1" applyProtection="1">
      <alignment horizontal="center" vertical="top" wrapText="1"/>
      <protection/>
    </xf>
    <xf numFmtId="2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2" fontId="1" fillId="0" borderId="19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9" fillId="33" borderId="0" xfId="0" applyNumberFormat="1" applyFont="1" applyFill="1" applyBorder="1" applyAlignment="1" applyProtection="1">
      <alignment vertical="top"/>
      <protection/>
    </xf>
    <xf numFmtId="0" fontId="50" fillId="33" borderId="0" xfId="0" applyNumberFormat="1" applyFont="1" applyFill="1" applyBorder="1" applyAlignment="1" applyProtection="1">
      <alignment vertical="top"/>
      <protection/>
    </xf>
    <xf numFmtId="0" fontId="49" fillId="33" borderId="0" xfId="0" applyNumberFormat="1" applyFont="1" applyFill="1" applyBorder="1" applyAlignment="1" applyProtection="1">
      <alignment vertical="top" wrapText="1"/>
      <protection/>
    </xf>
    <xf numFmtId="0" fontId="50" fillId="33" borderId="0" xfId="0" applyNumberFormat="1" applyFont="1" applyFill="1" applyBorder="1" applyAlignment="1" applyProtection="1">
      <alignment vertical="top" wrapText="1"/>
      <protection/>
    </xf>
    <xf numFmtId="0" fontId="49" fillId="33" borderId="0" xfId="0" applyNumberFormat="1" applyFont="1" applyFill="1" applyBorder="1" applyAlignment="1" applyProtection="1">
      <alignment vertical="center" wrapText="1"/>
      <protection/>
    </xf>
    <xf numFmtId="0" fontId="49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top"/>
      <protection/>
    </xf>
    <xf numFmtId="2" fontId="1" fillId="33" borderId="19" xfId="0" applyNumberFormat="1" applyFont="1" applyFill="1" applyBorder="1" applyAlignment="1" applyProtection="1">
      <alignment horizontal="center" vertical="top"/>
      <protection/>
    </xf>
    <xf numFmtId="164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horizontal="left" vertical="top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SheetLayoutView="100" workbookViewId="0" topLeftCell="A8">
      <selection activeCell="A6" sqref="A6:D6"/>
    </sheetView>
  </sheetViews>
  <sheetFormatPr defaultColWidth="9.140625" defaultRowHeight="52.5" customHeight="1"/>
  <cols>
    <col min="1" max="1" width="3.8515625" style="0" customWidth="1"/>
    <col min="2" max="2" width="59.7109375" style="0" customWidth="1"/>
    <col min="3" max="3" width="9.00390625" style="0" customWidth="1"/>
    <col min="4" max="4" width="15.57421875" style="0" customWidth="1"/>
    <col min="5" max="5" width="14.28125" style="0" customWidth="1"/>
    <col min="6" max="6" width="13.00390625" style="0" customWidth="1"/>
    <col min="7" max="8" width="13.57421875" style="0" customWidth="1"/>
    <col min="9" max="9" width="11.7109375" style="0" customWidth="1"/>
    <col min="10" max="10" width="11.57421875" style="0" customWidth="1"/>
    <col min="11" max="11" width="12.140625" style="28" customWidth="1"/>
    <col min="12" max="12" width="14.00390625" style="0" customWidth="1"/>
    <col min="13" max="13" width="14.57421875" style="0" customWidth="1"/>
    <col min="14" max="14" width="14.00390625" style="0" customWidth="1"/>
    <col min="15" max="15" width="15.00390625" style="0" customWidth="1"/>
    <col min="16" max="16" width="13.7109375" style="0" customWidth="1"/>
    <col min="17" max="17" width="54.7109375" style="0" customWidth="1"/>
    <col min="18" max="18" width="67.421875" style="0" customWidth="1"/>
  </cols>
  <sheetData>
    <row r="1" spans="1:17" s="28" customFormat="1" ht="24" customHeight="1" hidden="1">
      <c r="A1" s="66"/>
      <c r="B1" s="67"/>
      <c r="C1" s="67"/>
      <c r="D1" s="68"/>
      <c r="E1" s="67"/>
      <c r="F1" s="67"/>
      <c r="G1" s="67" t="s">
        <v>49</v>
      </c>
      <c r="H1" s="67"/>
      <c r="I1" s="67"/>
      <c r="J1" s="67" t="s">
        <v>48</v>
      </c>
      <c r="K1" s="67"/>
      <c r="L1" s="67"/>
      <c r="M1" s="67"/>
      <c r="N1" s="67"/>
      <c r="O1" s="67"/>
      <c r="P1" s="67"/>
      <c r="Q1" s="67"/>
    </row>
    <row r="2" spans="1:17" s="28" customFormat="1" ht="30.75" customHeight="1" hidden="1">
      <c r="A2" s="66"/>
      <c r="B2" s="67"/>
      <c r="C2" s="67"/>
      <c r="D2" s="68"/>
      <c r="E2" s="67"/>
      <c r="F2" s="67"/>
      <c r="G2" s="67"/>
      <c r="H2" s="67"/>
      <c r="I2" s="67"/>
      <c r="J2" s="67"/>
      <c r="K2" s="67">
        <v>61716.23</v>
      </c>
      <c r="L2" s="69" t="s">
        <v>150</v>
      </c>
      <c r="M2" s="67"/>
      <c r="N2" s="67"/>
      <c r="O2" s="67"/>
      <c r="P2" s="67"/>
      <c r="Q2" s="67"/>
    </row>
    <row r="3" spans="2:17" s="66" customFormat="1" ht="51" customHeight="1" hidden="1">
      <c r="B3" s="67"/>
      <c r="C3" s="67"/>
      <c r="D3" s="70" t="s">
        <v>146</v>
      </c>
      <c r="E3" s="67">
        <v>105188.59</v>
      </c>
      <c r="F3" s="67" t="s">
        <v>147</v>
      </c>
      <c r="G3" s="71" t="s">
        <v>149</v>
      </c>
      <c r="H3" s="72" t="s">
        <v>148</v>
      </c>
      <c r="I3" s="67"/>
      <c r="J3" s="67"/>
      <c r="K3" s="67">
        <v>405989.87</v>
      </c>
      <c r="L3" s="67" t="s">
        <v>101</v>
      </c>
      <c r="M3" s="67"/>
      <c r="N3" s="67"/>
      <c r="O3" s="67"/>
      <c r="P3" s="67"/>
      <c r="Q3" s="67"/>
    </row>
    <row r="4" spans="2:17" s="66" customFormat="1" ht="33.75" customHeight="1" hidden="1" thickBot="1">
      <c r="B4" s="67"/>
      <c r="C4" s="67"/>
      <c r="D4" s="68" t="s">
        <v>145</v>
      </c>
      <c r="E4" s="67">
        <v>3841276.79</v>
      </c>
      <c r="F4" s="67">
        <v>2383175.68</v>
      </c>
      <c r="G4" s="67">
        <v>62182.7</v>
      </c>
      <c r="H4" s="67">
        <v>144608.21</v>
      </c>
      <c r="I4" s="67"/>
      <c r="J4" s="67"/>
      <c r="K4" s="67">
        <v>1875128.68</v>
      </c>
      <c r="L4" s="69" t="s">
        <v>151</v>
      </c>
      <c r="M4" s="67"/>
      <c r="N4" s="67"/>
      <c r="O4" s="67"/>
      <c r="P4" s="67"/>
      <c r="Q4" s="67"/>
    </row>
    <row r="5" spans="1:17" ht="59.25" customHeight="1" thickBot="1">
      <c r="A5" s="89" t="s">
        <v>154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 t="s">
        <v>153</v>
      </c>
    </row>
    <row r="6" spans="1:17" ht="52.5" customHeight="1">
      <c r="A6" s="82"/>
      <c r="B6" s="83"/>
      <c r="C6" s="83"/>
      <c r="D6" s="84"/>
      <c r="E6" s="81" t="s">
        <v>144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92"/>
    </row>
    <row r="7" spans="1:17" ht="52.5" customHeight="1">
      <c r="A7" s="94" t="s">
        <v>67</v>
      </c>
      <c r="B7" s="94" t="s">
        <v>0</v>
      </c>
      <c r="C7" s="79" t="s">
        <v>1</v>
      </c>
      <c r="D7" s="79" t="s">
        <v>156</v>
      </c>
      <c r="E7" s="85" t="s">
        <v>58</v>
      </c>
      <c r="F7" s="79" t="s">
        <v>59</v>
      </c>
      <c r="G7" s="79" t="s">
        <v>50</v>
      </c>
      <c r="H7" s="79" t="s">
        <v>51</v>
      </c>
      <c r="I7" s="79" t="s">
        <v>52</v>
      </c>
      <c r="J7" s="79" t="s">
        <v>47</v>
      </c>
      <c r="K7" s="96" t="s">
        <v>60</v>
      </c>
      <c r="L7" s="97"/>
      <c r="M7" s="79" t="s">
        <v>66</v>
      </c>
      <c r="N7" s="98" t="s">
        <v>63</v>
      </c>
      <c r="O7" s="79" t="s">
        <v>64</v>
      </c>
      <c r="P7" s="87" t="s">
        <v>65</v>
      </c>
      <c r="Q7" s="92"/>
    </row>
    <row r="8" spans="1:17" ht="52.5" customHeight="1" thickBot="1">
      <c r="A8" s="95"/>
      <c r="B8" s="95"/>
      <c r="C8" s="80"/>
      <c r="D8" s="80"/>
      <c r="E8" s="86"/>
      <c r="F8" s="80"/>
      <c r="G8" s="80"/>
      <c r="H8" s="80"/>
      <c r="I8" s="80"/>
      <c r="J8" s="80"/>
      <c r="K8" s="73" t="s">
        <v>61</v>
      </c>
      <c r="L8" s="64" t="s">
        <v>62</v>
      </c>
      <c r="M8" s="80"/>
      <c r="N8" s="99"/>
      <c r="O8" s="80"/>
      <c r="P8" s="88"/>
      <c r="Q8" s="93"/>
    </row>
    <row r="9" spans="1:17" s="1" customFormat="1" ht="36.75" customHeight="1" thickBot="1">
      <c r="A9" s="19">
        <v>1</v>
      </c>
      <c r="B9" s="20">
        <v>2</v>
      </c>
      <c r="C9" s="20">
        <v>3</v>
      </c>
      <c r="D9" s="20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74">
        <v>11</v>
      </c>
      <c r="L9" s="21">
        <v>12</v>
      </c>
      <c r="M9" s="21">
        <v>13</v>
      </c>
      <c r="N9" s="21">
        <v>15</v>
      </c>
      <c r="O9" s="21">
        <v>16</v>
      </c>
      <c r="P9" s="22">
        <v>17</v>
      </c>
      <c r="Q9" s="23">
        <v>18</v>
      </c>
    </row>
    <row r="10" spans="1:17" s="2" customFormat="1" ht="52.5" customHeight="1" thickBot="1">
      <c r="A10" s="34" t="s">
        <v>2</v>
      </c>
      <c r="B10" s="24" t="s">
        <v>3</v>
      </c>
      <c r="C10" s="43">
        <v>1990</v>
      </c>
      <c r="D10" s="44">
        <v>731</v>
      </c>
      <c r="E10" s="38">
        <f>E4/D53*D10</f>
        <v>43555.039069458224</v>
      </c>
      <c r="F10" s="38">
        <f>(F4/G4*D10)+1062</f>
        <v>29077.853639034656</v>
      </c>
      <c r="G10" s="38">
        <v>299.23</v>
      </c>
      <c r="H10" s="38">
        <f>(H4/D53*D10)+14814.68</f>
        <v>16454.347376407524</v>
      </c>
      <c r="I10" s="65">
        <f>3918</f>
        <v>3918</v>
      </c>
      <c r="J10" s="59">
        <v>0</v>
      </c>
      <c r="K10" s="75">
        <f>K4/D53*D10</f>
        <v>21261.499075067077</v>
      </c>
      <c r="L10" s="38">
        <f>K10*54.48%</f>
        <v>11583.264696096543</v>
      </c>
      <c r="M10" s="38">
        <f>SUM(E10:K10)</f>
        <v>114565.96915996747</v>
      </c>
      <c r="N10" s="38">
        <v>111310.39</v>
      </c>
      <c r="O10" s="38">
        <v>117724</v>
      </c>
      <c r="P10" s="30">
        <f aca="true" t="shared" si="0" ref="P10:P52">O10-M10</f>
        <v>3158.0308400325303</v>
      </c>
      <c r="Q10" s="36" t="s">
        <v>117</v>
      </c>
    </row>
    <row r="11" spans="1:17" s="2" customFormat="1" ht="52.5" customHeight="1" thickBot="1">
      <c r="A11" s="12">
        <v>2</v>
      </c>
      <c r="B11" s="16" t="s">
        <v>9</v>
      </c>
      <c r="C11" s="45">
        <v>1978</v>
      </c>
      <c r="D11" s="45">
        <v>868.6</v>
      </c>
      <c r="E11" s="39">
        <f>E4/D53*D11</f>
        <v>51753.6346590033</v>
      </c>
      <c r="F11" s="39">
        <f>(F4/G4*D11)+1868</f>
        <v>35157.426088735294</v>
      </c>
      <c r="G11" s="39">
        <v>3534.85</v>
      </c>
      <c r="H11" s="39">
        <f>H4/D53*D11</f>
        <v>1948.3106472607062</v>
      </c>
      <c r="I11" s="60">
        <f>5805+22293</f>
        <v>28098</v>
      </c>
      <c r="J11" s="59">
        <v>0</v>
      </c>
      <c r="K11" s="57">
        <f>K4/D53*D11</f>
        <v>25263.66360684441</v>
      </c>
      <c r="L11" s="39">
        <f aca="true" t="shared" si="1" ref="L11:L52">K11*54.48%</f>
        <v>13763.643933008832</v>
      </c>
      <c r="M11" s="38">
        <f>SUM(E11:K11)</f>
        <v>145755.8850018437</v>
      </c>
      <c r="N11" s="39">
        <v>119199.7</v>
      </c>
      <c r="O11" s="39">
        <v>103710.3</v>
      </c>
      <c r="P11" s="30">
        <f t="shared" si="0"/>
        <v>-42045.585001843705</v>
      </c>
      <c r="Q11" s="36" t="s">
        <v>118</v>
      </c>
    </row>
    <row r="12" spans="1:17" s="2" customFormat="1" ht="52.5" customHeight="1" thickBot="1">
      <c r="A12" s="12">
        <v>3</v>
      </c>
      <c r="B12" s="16" t="s">
        <v>10</v>
      </c>
      <c r="C12" s="45">
        <v>1988</v>
      </c>
      <c r="D12" s="45">
        <v>732.3</v>
      </c>
      <c r="E12" s="39">
        <f>E4/D53*D12</f>
        <v>43632.49673127805</v>
      </c>
      <c r="F12" s="39">
        <f>(F4/G4*D12)+1245.3</f>
        <v>29310.976634562347</v>
      </c>
      <c r="G12" s="39">
        <v>20.94</v>
      </c>
      <c r="H12" s="39">
        <f>(H4/D53*D12)+901</f>
        <v>2543.583337542039</v>
      </c>
      <c r="I12" s="60">
        <v>0</v>
      </c>
      <c r="J12" s="59">
        <v>0</v>
      </c>
      <c r="K12" s="57">
        <f>K4/D53*D12</f>
        <v>21299.310222532993</v>
      </c>
      <c r="L12" s="39">
        <f t="shared" si="1"/>
        <v>11603.864209235973</v>
      </c>
      <c r="M12" s="39">
        <f aca="true" t="shared" si="2" ref="M12:M68">SUM(E12:K12)</f>
        <v>96807.30692591543</v>
      </c>
      <c r="N12" s="39">
        <v>111814.29</v>
      </c>
      <c r="O12" s="39">
        <v>111669.4</v>
      </c>
      <c r="P12" s="30">
        <f t="shared" si="0"/>
        <v>14862.093074084565</v>
      </c>
      <c r="Q12" s="36" t="s">
        <v>105</v>
      </c>
    </row>
    <row r="13" spans="1:17" s="2" customFormat="1" ht="52.5" customHeight="1" thickBot="1">
      <c r="A13" s="12">
        <v>4</v>
      </c>
      <c r="B13" s="16" t="s">
        <v>4</v>
      </c>
      <c r="C13" s="45">
        <v>1991</v>
      </c>
      <c r="D13" s="45">
        <v>719.2</v>
      </c>
      <c r="E13" s="39">
        <f>E4/D53*D13</f>
        <v>42851.961831401306</v>
      </c>
      <c r="F13" s="39">
        <f>(F4/G4*D13)+1245.3</f>
        <v>28808.914141167887</v>
      </c>
      <c r="G13" s="39">
        <v>130.56</v>
      </c>
      <c r="H13" s="39">
        <f>H4/D53*D13</f>
        <v>1613.1994214942436</v>
      </c>
      <c r="I13" s="60">
        <v>0</v>
      </c>
      <c r="J13" s="59">
        <v>0</v>
      </c>
      <c r="K13" s="57">
        <f>K4/D53*D13</f>
        <v>20918.29019806873</v>
      </c>
      <c r="L13" s="39">
        <f t="shared" si="1"/>
        <v>11396.284499907844</v>
      </c>
      <c r="M13" s="39">
        <f t="shared" si="2"/>
        <v>94322.92559213216</v>
      </c>
      <c r="N13" s="39">
        <v>110180.17</v>
      </c>
      <c r="O13" s="39">
        <v>105547.3</v>
      </c>
      <c r="P13" s="30">
        <f t="shared" si="0"/>
        <v>11224.374407867843</v>
      </c>
      <c r="Q13" s="35" t="s">
        <v>104</v>
      </c>
    </row>
    <row r="14" spans="1:17" s="2" customFormat="1" ht="52.5" customHeight="1" thickBot="1">
      <c r="A14" s="12">
        <v>5</v>
      </c>
      <c r="B14" s="16" t="s">
        <v>29</v>
      </c>
      <c r="C14" s="45">
        <v>1991</v>
      </c>
      <c r="D14" s="45">
        <v>721.5</v>
      </c>
      <c r="E14" s="39">
        <f>E4/D53*D14</f>
        <v>42989.00231000562</v>
      </c>
      <c r="F14" s="39">
        <f>(F4/G4*D14)+1245.3</f>
        <v>28897.06251787073</v>
      </c>
      <c r="G14" s="39">
        <v>720.51</v>
      </c>
      <c r="H14" s="39">
        <f>(H4/D53*D14)+3744.63</f>
        <v>5362.988429655306</v>
      </c>
      <c r="I14" s="60">
        <v>0</v>
      </c>
      <c r="J14" s="59">
        <v>0</v>
      </c>
      <c r="K14" s="57">
        <f>K4/D53*D14</f>
        <v>20985.186843585358</v>
      </c>
      <c r="L14" s="39">
        <f t="shared" si="1"/>
        <v>11432.729792385302</v>
      </c>
      <c r="M14" s="39">
        <f t="shared" si="2"/>
        <v>98954.75010111701</v>
      </c>
      <c r="N14" s="39">
        <v>110470.25</v>
      </c>
      <c r="O14" s="39">
        <v>103614.11</v>
      </c>
      <c r="P14" s="30">
        <f t="shared" si="0"/>
        <v>4659.359898882991</v>
      </c>
      <c r="Q14" s="35" t="s">
        <v>102</v>
      </c>
    </row>
    <row r="15" spans="1:17" s="2" customFormat="1" ht="52.5" customHeight="1" thickBot="1">
      <c r="A15" s="12">
        <v>6</v>
      </c>
      <c r="B15" s="16" t="s">
        <v>11</v>
      </c>
      <c r="C15" s="45">
        <v>1989</v>
      </c>
      <c r="D15" s="45">
        <v>4255.9</v>
      </c>
      <c r="E15" s="39">
        <f>E4/D53*D15</f>
        <v>253578.50995308787</v>
      </c>
      <c r="F15" s="39">
        <f>(F4/G4*D15)+1868</f>
        <v>164976.9897433209</v>
      </c>
      <c r="G15" s="39">
        <v>2235.69</v>
      </c>
      <c r="H15" s="39">
        <f>(H4/D53*D15)+9869.37+2837.6</f>
        <v>22253.15384029109</v>
      </c>
      <c r="I15" s="60">
        <f>14345+4244+1027</f>
        <v>19616</v>
      </c>
      <c r="J15" s="59">
        <v>0</v>
      </c>
      <c r="K15" s="57">
        <f>K4/D53*D15</f>
        <v>123784.97115400541</v>
      </c>
      <c r="L15" s="39">
        <f t="shared" si="1"/>
        <v>67438.05228470215</v>
      </c>
      <c r="M15" s="39">
        <f t="shared" si="2"/>
        <v>586445.3146907053</v>
      </c>
      <c r="N15" s="39">
        <v>652666.08</v>
      </c>
      <c r="O15" s="39">
        <v>625068.25</v>
      </c>
      <c r="P15" s="30">
        <f t="shared" si="0"/>
        <v>38622.93530929473</v>
      </c>
      <c r="Q15" s="36" t="s">
        <v>115</v>
      </c>
    </row>
    <row r="16" spans="1:17" s="2" customFormat="1" ht="52.5" customHeight="1" thickBot="1">
      <c r="A16" s="12">
        <v>7</v>
      </c>
      <c r="B16" s="16" t="s">
        <v>12</v>
      </c>
      <c r="C16" s="45">
        <v>1988</v>
      </c>
      <c r="D16" s="45">
        <v>4245.1</v>
      </c>
      <c r="E16" s="39">
        <f>E4/D53*D16</f>
        <v>252935.01553181547</v>
      </c>
      <c r="F16" s="39">
        <f>(F4/G4*D16)+1868</f>
        <v>164563.07562662932</v>
      </c>
      <c r="G16" s="39">
        <v>7408.32</v>
      </c>
      <c r="H16" s="39">
        <f>H4/D53*D16</f>
        <v>9521.958932404357</v>
      </c>
      <c r="I16" s="60">
        <f>677+2559</f>
        <v>3236</v>
      </c>
      <c r="J16" s="59">
        <v>0</v>
      </c>
      <c r="K16" s="57">
        <f>K4/D53*D16</f>
        <v>123470.8477750578</v>
      </c>
      <c r="L16" s="39">
        <f t="shared" si="1"/>
        <v>67266.91786785149</v>
      </c>
      <c r="M16" s="39">
        <f t="shared" si="2"/>
        <v>561135.2178659069</v>
      </c>
      <c r="N16" s="39">
        <v>648876.39</v>
      </c>
      <c r="O16" s="39">
        <v>614552.77</v>
      </c>
      <c r="P16" s="30">
        <f t="shared" si="0"/>
        <v>53417.55213409313</v>
      </c>
      <c r="Q16" s="36" t="s">
        <v>114</v>
      </c>
    </row>
    <row r="17" spans="1:17" s="2" customFormat="1" ht="52.5" customHeight="1" thickBot="1">
      <c r="A17" s="12">
        <v>8</v>
      </c>
      <c r="B17" s="16" t="s">
        <v>5</v>
      </c>
      <c r="C17" s="45">
        <v>1978</v>
      </c>
      <c r="D17" s="45">
        <v>772.1</v>
      </c>
      <c r="E17" s="39">
        <f>E4/D53*D17</f>
        <v>46003.89283930054</v>
      </c>
      <c r="F17" s="39">
        <f>(F4/G4*D17)+934</f>
        <v>30525.02680533332</v>
      </c>
      <c r="G17" s="39">
        <v>309.95</v>
      </c>
      <c r="H17" s="39">
        <f>(H4/D53*D17)+267</f>
        <v>1998.8566091987004</v>
      </c>
      <c r="I17" s="60">
        <f>138128</f>
        <v>138128</v>
      </c>
      <c r="J17" s="41">
        <v>0</v>
      </c>
      <c r="K17" s="57">
        <f>K4/D53*D17</f>
        <v>22456.91304495115</v>
      </c>
      <c r="L17" s="39">
        <f t="shared" si="1"/>
        <v>12234.526226889386</v>
      </c>
      <c r="M17" s="39">
        <f t="shared" si="2"/>
        <v>239422.63929878373</v>
      </c>
      <c r="N17" s="39">
        <v>106532.25</v>
      </c>
      <c r="O17" s="39">
        <v>103270.43</v>
      </c>
      <c r="P17" s="30">
        <f t="shared" si="0"/>
        <v>-136152.20929878374</v>
      </c>
      <c r="Q17" s="35" t="s">
        <v>53</v>
      </c>
    </row>
    <row r="18" spans="1:17" s="2" customFormat="1" ht="52.5" customHeight="1" thickBot="1">
      <c r="A18" s="12">
        <v>9</v>
      </c>
      <c r="B18" s="16" t="s">
        <v>13</v>
      </c>
      <c r="C18" s="45">
        <v>1979</v>
      </c>
      <c r="D18" s="45">
        <v>779.4</v>
      </c>
      <c r="E18" s="39">
        <f>E4/D53*D18</f>
        <v>46438.847401827275</v>
      </c>
      <c r="F18" s="39">
        <f>(F4/G4*D18)+934</f>
        <v>30804.802087911914</v>
      </c>
      <c r="G18" s="39">
        <v>936.5</v>
      </c>
      <c r="H18" s="39">
        <f>(H4/D53*D18)+259</f>
        <v>2007.2308524925102</v>
      </c>
      <c r="I18" s="60">
        <v>0</v>
      </c>
      <c r="J18" s="41">
        <v>0</v>
      </c>
      <c r="K18" s="57">
        <f>K4/D53*D18</f>
        <v>22669.23718072131</v>
      </c>
      <c r="L18" s="39">
        <f t="shared" si="1"/>
        <v>12350.200416056969</v>
      </c>
      <c r="M18" s="39">
        <f t="shared" si="2"/>
        <v>102856.61752295299</v>
      </c>
      <c r="N18" s="39">
        <v>106958.29</v>
      </c>
      <c r="O18" s="39">
        <v>109175.2</v>
      </c>
      <c r="P18" s="30">
        <f t="shared" si="0"/>
        <v>6318.582477047006</v>
      </c>
      <c r="Q18" s="36" t="s">
        <v>126</v>
      </c>
    </row>
    <row r="19" spans="1:17" s="2" customFormat="1" ht="52.5" customHeight="1" thickBot="1">
      <c r="A19" s="12">
        <v>10</v>
      </c>
      <c r="B19" s="16" t="s">
        <v>6</v>
      </c>
      <c r="C19" s="45">
        <v>1991</v>
      </c>
      <c r="D19" s="45">
        <v>5272.8</v>
      </c>
      <c r="E19" s="39">
        <f>E4/D53*D19</f>
        <v>314168.27634123026</v>
      </c>
      <c r="F19" s="39">
        <f>(F4/G4*D19)+1868</f>
        <v>203950.06986033096</v>
      </c>
      <c r="G19" s="39">
        <v>10490.43</v>
      </c>
      <c r="H19" s="39">
        <f>(H4/D53*D19)+4428.61+6191.08+67089.13+83130</f>
        <v>172665.95836158906</v>
      </c>
      <c r="I19" s="39">
        <f>513+3654</f>
        <v>4167</v>
      </c>
      <c r="J19" s="41">
        <v>0</v>
      </c>
      <c r="K19" s="57">
        <f>K4/D53*D19</f>
        <v>153362.01412176975</v>
      </c>
      <c r="L19" s="39">
        <f t="shared" si="1"/>
        <v>83551.62529354016</v>
      </c>
      <c r="M19" s="39">
        <f t="shared" si="2"/>
        <v>858803.7486849199</v>
      </c>
      <c r="N19" s="39">
        <v>807957.75</v>
      </c>
      <c r="O19" s="39">
        <v>778232.73</v>
      </c>
      <c r="P19" s="30">
        <f t="shared" si="0"/>
        <v>-80571.01868491992</v>
      </c>
      <c r="Q19" s="36" t="s">
        <v>127</v>
      </c>
    </row>
    <row r="20" spans="1:17" s="2" customFormat="1" ht="52.5" customHeight="1" thickBot="1">
      <c r="A20" s="12">
        <v>11</v>
      </c>
      <c r="B20" s="16" t="s">
        <v>44</v>
      </c>
      <c r="C20" s="45">
        <v>1984</v>
      </c>
      <c r="D20" s="45">
        <v>3638.14</v>
      </c>
      <c r="E20" s="39">
        <f>E4/D53*D20</f>
        <v>216770.6290563047</v>
      </c>
      <c r="F20" s="39">
        <f>(F4/G4*D20)+1868</f>
        <v>141301.10226856024</v>
      </c>
      <c r="G20" s="39">
        <v>120858.15</v>
      </c>
      <c r="H20" s="39">
        <f>(H4/D53*D20)+30448+397</f>
        <v>39005.51910917</v>
      </c>
      <c r="I20" s="39">
        <f>14963</f>
        <v>14963</v>
      </c>
      <c r="J20" s="41">
        <v>0</v>
      </c>
      <c r="K20" s="57">
        <f>K4/D53*D20</f>
        <v>105817.11387820046</v>
      </c>
      <c r="L20" s="39">
        <f t="shared" si="1"/>
        <v>57649.1636408436</v>
      </c>
      <c r="M20" s="39">
        <f t="shared" si="2"/>
        <v>638715.5143122353</v>
      </c>
      <c r="N20" s="39">
        <v>545577.82</v>
      </c>
      <c r="O20" s="39">
        <v>473442.01</v>
      </c>
      <c r="P20" s="30">
        <f t="shared" si="0"/>
        <v>-165273.50431223528</v>
      </c>
      <c r="Q20" s="36" t="s">
        <v>143</v>
      </c>
    </row>
    <row r="21" spans="1:17" s="2" customFormat="1" ht="52.5" customHeight="1" thickBot="1">
      <c r="A21" s="12">
        <v>12</v>
      </c>
      <c r="B21" s="16" t="s">
        <v>41</v>
      </c>
      <c r="C21" s="45">
        <v>1978</v>
      </c>
      <c r="D21" s="45">
        <v>271.7</v>
      </c>
      <c r="E21" s="39">
        <f>E4/D53*D21</f>
        <v>16188.651320344457</v>
      </c>
      <c r="F21" s="39">
        <f>(F4/G4*D21)</f>
        <v>10413.006065288257</v>
      </c>
      <c r="G21" s="39">
        <v>791.76</v>
      </c>
      <c r="H21" s="39">
        <f>H4/D53*D21</f>
        <v>609.4358771134398</v>
      </c>
      <c r="I21" s="60">
        <v>0</v>
      </c>
      <c r="J21" s="41">
        <v>0</v>
      </c>
      <c r="K21" s="57">
        <f>K4/D53*D21</f>
        <v>7902.529820377188</v>
      </c>
      <c r="L21" s="39">
        <f t="shared" si="1"/>
        <v>4305.298246141491</v>
      </c>
      <c r="M21" s="39">
        <f t="shared" si="2"/>
        <v>35905.38308312334</v>
      </c>
      <c r="N21" s="39">
        <v>40989.35</v>
      </c>
      <c r="O21" s="39">
        <v>40640.1</v>
      </c>
      <c r="P21" s="30">
        <f t="shared" si="0"/>
        <v>4734.716916876656</v>
      </c>
      <c r="Q21" s="35" t="s">
        <v>55</v>
      </c>
    </row>
    <row r="22" spans="1:17" s="2" customFormat="1" ht="52.5" customHeight="1" thickBot="1">
      <c r="A22" s="12">
        <v>13</v>
      </c>
      <c r="B22" s="16" t="s">
        <v>7</v>
      </c>
      <c r="C22" s="45">
        <v>1977</v>
      </c>
      <c r="D22" s="46">
        <v>271</v>
      </c>
      <c r="E22" s="39">
        <f>E4/D53*D22</f>
        <v>16146.94334859532</v>
      </c>
      <c r="F22" s="39">
        <f>(F4/G4*D22)</f>
        <v>10386.178298465651</v>
      </c>
      <c r="G22" s="39">
        <v>1742.88</v>
      </c>
      <c r="H22" s="39">
        <f>H4/D53*D22</f>
        <v>607.8657441948553</v>
      </c>
      <c r="I22" s="60">
        <v>0</v>
      </c>
      <c r="J22" s="41">
        <v>0</v>
      </c>
      <c r="K22" s="57">
        <f>K4/D53*D22</f>
        <v>7882.169971741693</v>
      </c>
      <c r="L22" s="39">
        <f t="shared" si="1"/>
        <v>4294.206200604874</v>
      </c>
      <c r="M22" s="39">
        <f t="shared" si="2"/>
        <v>36766.03736299752</v>
      </c>
      <c r="N22" s="39">
        <v>41353.94</v>
      </c>
      <c r="O22" s="39">
        <v>40548.52</v>
      </c>
      <c r="P22" s="30">
        <f t="shared" si="0"/>
        <v>3782.482637002475</v>
      </c>
      <c r="Q22" s="35"/>
    </row>
    <row r="23" spans="1:17" s="2" customFormat="1" ht="52.5" customHeight="1" thickBot="1">
      <c r="A23" s="12">
        <v>14</v>
      </c>
      <c r="B23" s="17" t="s">
        <v>42</v>
      </c>
      <c r="C23" s="45">
        <v>1986</v>
      </c>
      <c r="D23" s="45">
        <v>3215.3</v>
      </c>
      <c r="E23" s="39">
        <f>E4/D53*D23</f>
        <v>191576.63080715324</v>
      </c>
      <c r="F23" s="39">
        <f>(F4/G4*D23)+1868</f>
        <v>125095.59809245983</v>
      </c>
      <c r="G23" s="39">
        <v>4956.24</v>
      </c>
      <c r="H23" s="39">
        <f>(H4/D53*D23)+4031.63+818</f>
        <v>12061.699104463907</v>
      </c>
      <c r="I23" s="62">
        <f>5651</f>
        <v>5651</v>
      </c>
      <c r="J23" s="41">
        <v>0</v>
      </c>
      <c r="K23" s="57">
        <f>K4/D53*D23</f>
        <v>93518.60188243935</v>
      </c>
      <c r="L23" s="39">
        <f t="shared" si="1"/>
        <v>50948.93430555295</v>
      </c>
      <c r="M23" s="39">
        <f t="shared" si="2"/>
        <v>432859.7698865163</v>
      </c>
      <c r="N23" s="39">
        <v>491252.88</v>
      </c>
      <c r="O23" s="39">
        <v>490695.37</v>
      </c>
      <c r="P23" s="30">
        <f t="shared" si="0"/>
        <v>57835.60011348367</v>
      </c>
      <c r="Q23" s="36" t="s">
        <v>106</v>
      </c>
    </row>
    <row r="24" spans="1:17" s="2" customFormat="1" ht="52.5" customHeight="1" thickBot="1">
      <c r="A24" s="12">
        <v>15</v>
      </c>
      <c r="B24" s="16" t="s">
        <v>8</v>
      </c>
      <c r="C24" s="45">
        <v>1977</v>
      </c>
      <c r="D24" s="45">
        <v>841.9</v>
      </c>
      <c r="E24" s="39">
        <f>E4/D53*D24</f>
        <v>50162.77345085756</v>
      </c>
      <c r="F24" s="39">
        <f>(F4/G4*D24)</f>
        <v>32266.13841135879</v>
      </c>
      <c r="G24" s="39">
        <v>606.84</v>
      </c>
      <c r="H24" s="39">
        <f>H4/D53*D24</f>
        <v>1888.4212916518402</v>
      </c>
      <c r="I24" s="39">
        <v>0</v>
      </c>
      <c r="J24" s="41">
        <v>0</v>
      </c>
      <c r="K24" s="57">
        <f>K4/D53*D24</f>
        <v>24487.08080889052</v>
      </c>
      <c r="L24" s="39">
        <f t="shared" si="1"/>
        <v>13340.561624683554</v>
      </c>
      <c r="M24" s="39">
        <f t="shared" si="2"/>
        <v>109411.25396275871</v>
      </c>
      <c r="N24" s="39">
        <v>129162.09</v>
      </c>
      <c r="O24" s="39">
        <v>127947.61</v>
      </c>
      <c r="P24" s="30">
        <f t="shared" si="0"/>
        <v>18536.35603724129</v>
      </c>
      <c r="Q24" s="35" t="s">
        <v>89</v>
      </c>
    </row>
    <row r="25" spans="1:17" s="2" customFormat="1" ht="52.5" customHeight="1" thickBot="1">
      <c r="A25" s="12">
        <v>16</v>
      </c>
      <c r="B25" s="16" t="s">
        <v>43</v>
      </c>
      <c r="C25" s="45">
        <v>1966</v>
      </c>
      <c r="D25" s="45">
        <v>180.9</v>
      </c>
      <c r="E25" s="39">
        <f>E4/D53*D25</f>
        <v>10778.531556313259</v>
      </c>
      <c r="F25" s="39">
        <v>0</v>
      </c>
      <c r="G25" s="39">
        <v>184.97</v>
      </c>
      <c r="H25" s="39">
        <f>(H4/D53*D25)+887</f>
        <v>1292.767207102765</v>
      </c>
      <c r="I25" s="60">
        <v>0</v>
      </c>
      <c r="J25" s="41">
        <v>0</v>
      </c>
      <c r="K25" s="57">
        <f>K4/D53*D25</f>
        <v>5261.56659737296</v>
      </c>
      <c r="L25" s="39">
        <f t="shared" si="1"/>
        <v>2866.5014822487883</v>
      </c>
      <c r="M25" s="39">
        <f t="shared" si="2"/>
        <v>17517.835360788984</v>
      </c>
      <c r="N25" s="39">
        <v>24853.88</v>
      </c>
      <c r="O25" s="39">
        <v>24665.53</v>
      </c>
      <c r="P25" s="30">
        <f t="shared" si="0"/>
        <v>7147.694639211015</v>
      </c>
      <c r="Q25" s="35" t="s">
        <v>54</v>
      </c>
    </row>
    <row r="26" spans="1:17" s="2" customFormat="1" ht="47.25" customHeight="1" thickBot="1">
      <c r="A26" s="12">
        <v>17</v>
      </c>
      <c r="B26" s="16" t="s">
        <v>14</v>
      </c>
      <c r="C26" s="45">
        <v>1974</v>
      </c>
      <c r="D26" s="45">
        <v>715.6</v>
      </c>
      <c r="E26" s="39">
        <f>E4/D53*D26</f>
        <v>42637.46369097716</v>
      </c>
      <c r="F26" s="39">
        <f>(F4/G4*D26)+1371+622.7+622.7</f>
        <v>30042.042768937346</v>
      </c>
      <c r="G26" s="39">
        <v>701.18</v>
      </c>
      <c r="H26" s="39">
        <f>H4/D53*D26</f>
        <v>1605.124452198666</v>
      </c>
      <c r="I26" s="39">
        <f>9227.3+1949.67+2106</f>
        <v>13282.97</v>
      </c>
      <c r="J26" s="41">
        <v>0</v>
      </c>
      <c r="K26" s="57">
        <f>K4/D53*D26</f>
        <v>20813.582405086185</v>
      </c>
      <c r="L26" s="39">
        <f t="shared" si="1"/>
        <v>11339.239694290953</v>
      </c>
      <c r="M26" s="39">
        <f t="shared" si="2"/>
        <v>109082.36331719934</v>
      </c>
      <c r="N26" s="39">
        <v>98797.18</v>
      </c>
      <c r="O26" s="39">
        <v>101428.78</v>
      </c>
      <c r="P26" s="30">
        <f t="shared" si="0"/>
        <v>-7653.583317199344</v>
      </c>
      <c r="Q26" s="35" t="s">
        <v>90</v>
      </c>
    </row>
    <row r="27" spans="1:17" s="2" customFormat="1" ht="47.25" customHeight="1" thickBot="1">
      <c r="A27" s="12">
        <v>18</v>
      </c>
      <c r="B27" s="16" t="s">
        <v>15</v>
      </c>
      <c r="C27" s="45">
        <v>1972</v>
      </c>
      <c r="D27" s="45">
        <v>714.9</v>
      </c>
      <c r="E27" s="39">
        <f>E4/D53*D27</f>
        <v>42595.75571922802</v>
      </c>
      <c r="F27" s="39">
        <f>(F4/G4*D27)+1371+622.7+622.7</f>
        <v>30015.21500211474</v>
      </c>
      <c r="G27" s="39">
        <v>3026.68</v>
      </c>
      <c r="H27" s="39">
        <f>(H4/D53*D27)+16939.25</f>
        <v>18542.804319280083</v>
      </c>
      <c r="I27" s="39">
        <f>18454.6+1949.67+3971</f>
        <v>24375.269999999997</v>
      </c>
      <c r="J27" s="41">
        <v>0</v>
      </c>
      <c r="K27" s="57">
        <f>K4/D53*D27</f>
        <v>20793.222556450688</v>
      </c>
      <c r="L27" s="39">
        <f t="shared" si="1"/>
        <v>11328.147648754333</v>
      </c>
      <c r="M27" s="39">
        <f t="shared" si="2"/>
        <v>139348.94759707354</v>
      </c>
      <c r="N27" s="39">
        <v>98714.74</v>
      </c>
      <c r="O27" s="39">
        <v>101089.5</v>
      </c>
      <c r="P27" s="30">
        <f t="shared" si="0"/>
        <v>-38259.44759707354</v>
      </c>
      <c r="Q27" s="35" t="s">
        <v>91</v>
      </c>
    </row>
    <row r="28" spans="1:17" s="2" customFormat="1" ht="47.25" customHeight="1" thickBot="1">
      <c r="A28" s="12">
        <v>19</v>
      </c>
      <c r="B28" s="16" t="s">
        <v>16</v>
      </c>
      <c r="C28" s="45">
        <v>1971</v>
      </c>
      <c r="D28" s="45">
        <v>715.2</v>
      </c>
      <c r="E28" s="39">
        <f>E4/D53*D28</f>
        <v>42613.63056426337</v>
      </c>
      <c r="F28" s="39">
        <f>(F4/G4*D28)+1371+622.7+622.7</f>
        <v>30026.712616467288</v>
      </c>
      <c r="G28" s="39">
        <v>3502.64</v>
      </c>
      <c r="H28" s="39">
        <f>H4/D53*D28</f>
        <v>1604.2272333880464</v>
      </c>
      <c r="I28" s="39">
        <f>18454.6+1949.67+11988+4292</f>
        <v>36684.27</v>
      </c>
      <c r="J28" s="41">
        <v>0</v>
      </c>
      <c r="K28" s="57">
        <f>K4/D53*D28</f>
        <v>20801.9482058659</v>
      </c>
      <c r="L28" s="39">
        <f t="shared" si="1"/>
        <v>11332.901382555741</v>
      </c>
      <c r="M28" s="39">
        <f t="shared" si="2"/>
        <v>135233.42861998457</v>
      </c>
      <c r="N28" s="39">
        <v>98426.17</v>
      </c>
      <c r="O28" s="39">
        <v>93647.08</v>
      </c>
      <c r="P28" s="30">
        <f t="shared" si="0"/>
        <v>-41586.348619984565</v>
      </c>
      <c r="Q28" s="35" t="s">
        <v>56</v>
      </c>
    </row>
    <row r="29" spans="1:17" s="2" customFormat="1" ht="47.25" customHeight="1" thickBot="1">
      <c r="A29" s="12">
        <v>20</v>
      </c>
      <c r="B29" s="16" t="s">
        <v>17</v>
      </c>
      <c r="C29" s="45">
        <v>1981</v>
      </c>
      <c r="D29" s="45">
        <v>875.2</v>
      </c>
      <c r="E29" s="39">
        <f>E4/D53*D29</f>
        <v>52146.8812497809</v>
      </c>
      <c r="F29" s="39">
        <f>(F4/G4*D29)+533.71</f>
        <v>34076.08360449129</v>
      </c>
      <c r="G29" s="39">
        <v>1263.98</v>
      </c>
      <c r="H29" s="39">
        <f>(H4/D53*D29)+10329.05</f>
        <v>12292.16475763593</v>
      </c>
      <c r="I29" s="39">
        <f>38300+3705.57</f>
        <v>42005.57</v>
      </c>
      <c r="J29" s="41">
        <v>0</v>
      </c>
      <c r="K29" s="57">
        <f>K4/D53*D29</f>
        <v>25455.62789397908</v>
      </c>
      <c r="L29" s="39">
        <f t="shared" si="1"/>
        <v>13868.226076639801</v>
      </c>
      <c r="M29" s="39">
        <f t="shared" si="2"/>
        <v>167240.30750588718</v>
      </c>
      <c r="N29" s="39">
        <v>133071.71</v>
      </c>
      <c r="O29" s="39">
        <v>113103.51</v>
      </c>
      <c r="P29" s="30">
        <f t="shared" si="0"/>
        <v>-54136.79750588718</v>
      </c>
      <c r="Q29" s="36" t="s">
        <v>120</v>
      </c>
    </row>
    <row r="30" spans="1:17" s="2" customFormat="1" ht="52.5" customHeight="1" thickBot="1">
      <c r="A30" s="12">
        <v>21</v>
      </c>
      <c r="B30" s="16" t="s">
        <v>18</v>
      </c>
      <c r="C30" s="45">
        <v>1981</v>
      </c>
      <c r="D30" s="45">
        <v>875.4</v>
      </c>
      <c r="E30" s="39">
        <f>E4/D53*D30</f>
        <v>52158.79781313779</v>
      </c>
      <c r="F30" s="39">
        <f>(F4/G4*D30)+533.71</f>
        <v>34083.74868072631</v>
      </c>
      <c r="G30" s="39">
        <v>907.96</v>
      </c>
      <c r="H30" s="39">
        <f>H4/D53*D30</f>
        <v>1963.5633670412412</v>
      </c>
      <c r="I30" s="39">
        <f>3705.57</f>
        <v>3705.57</v>
      </c>
      <c r="J30" s="41">
        <v>0</v>
      </c>
      <c r="K30" s="57">
        <f>K4/D53*D30</f>
        <v>25461.44499358922</v>
      </c>
      <c r="L30" s="39">
        <f t="shared" si="1"/>
        <v>13871.395232507406</v>
      </c>
      <c r="M30" s="39">
        <f t="shared" si="2"/>
        <v>118281.08485449456</v>
      </c>
      <c r="N30" s="39">
        <v>136108.28</v>
      </c>
      <c r="O30" s="39">
        <v>125926.58</v>
      </c>
      <c r="P30" s="30">
        <f t="shared" si="0"/>
        <v>7645.49514550544</v>
      </c>
      <c r="Q30" s="36" t="s">
        <v>119</v>
      </c>
    </row>
    <row r="31" spans="1:17" s="2" customFormat="1" ht="47.25" customHeight="1" thickBot="1">
      <c r="A31" s="12">
        <v>22</v>
      </c>
      <c r="B31" s="16" t="s">
        <v>19</v>
      </c>
      <c r="C31" s="45">
        <v>1986</v>
      </c>
      <c r="D31" s="45">
        <v>3099.3</v>
      </c>
      <c r="E31" s="39">
        <f>E4/D53*D31</f>
        <v>184665.02406015305</v>
      </c>
      <c r="F31" s="39">
        <f>(F4/G4*D31)+2378+1868</f>
        <v>123027.85387614243</v>
      </c>
      <c r="G31" s="39">
        <v>5374.36</v>
      </c>
      <c r="H31" s="39">
        <f>(H4/D53*D31)+5108.46+14265.95+5890</f>
        <v>32216.28564938419</v>
      </c>
      <c r="I31" s="60">
        <f>44889</f>
        <v>44889</v>
      </c>
      <c r="J31" s="41">
        <v>0</v>
      </c>
      <c r="K31" s="57">
        <f>K4/D53*D31</f>
        <v>90144.68410855731</v>
      </c>
      <c r="L31" s="39">
        <f t="shared" si="1"/>
        <v>49110.82390234202</v>
      </c>
      <c r="M31" s="39">
        <f t="shared" si="2"/>
        <v>480317.20769423695</v>
      </c>
      <c r="N31" s="39">
        <v>476774.08</v>
      </c>
      <c r="O31" s="39">
        <v>443661.48</v>
      </c>
      <c r="P31" s="30">
        <f t="shared" si="0"/>
        <v>-36655.727694236964</v>
      </c>
      <c r="Q31" s="36" t="s">
        <v>135</v>
      </c>
    </row>
    <row r="32" spans="1:17" s="3" customFormat="1" ht="47.25" customHeight="1" thickBot="1">
      <c r="A32" s="12">
        <v>23</v>
      </c>
      <c r="B32" s="16" t="s">
        <v>20</v>
      </c>
      <c r="C32" s="45">
        <v>1981</v>
      </c>
      <c r="D32" s="45">
        <v>878.4</v>
      </c>
      <c r="E32" s="39">
        <f>E4/D53*D32</f>
        <v>52337.54626349125</v>
      </c>
      <c r="F32" s="39">
        <f>(F4/G4*D32)+533.71</f>
        <v>34198.72482425177</v>
      </c>
      <c r="G32" s="39">
        <v>1922.34</v>
      </c>
      <c r="H32" s="39">
        <f>(H4/D53*D32)+1233.57</f>
        <v>3203.862508120889</v>
      </c>
      <c r="I32" s="39">
        <f>3705.57</f>
        <v>3705.57</v>
      </c>
      <c r="J32" s="41">
        <v>0</v>
      </c>
      <c r="K32" s="57">
        <f>K4/D53*D32</f>
        <v>25548.70148774134</v>
      </c>
      <c r="L32" s="39">
        <f t="shared" si="1"/>
        <v>13918.93257052148</v>
      </c>
      <c r="M32" s="39">
        <f t="shared" si="2"/>
        <v>120916.74508360526</v>
      </c>
      <c r="N32" s="39">
        <v>133773.94</v>
      </c>
      <c r="O32" s="39">
        <v>134112.91</v>
      </c>
      <c r="P32" s="30">
        <f t="shared" si="0"/>
        <v>13196.164916394744</v>
      </c>
      <c r="Q32" s="36" t="s">
        <v>121</v>
      </c>
    </row>
    <row r="33" spans="1:17" s="3" customFormat="1" ht="47.25" customHeight="1" thickBot="1">
      <c r="A33" s="12">
        <v>24</v>
      </c>
      <c r="B33" s="16" t="s">
        <v>24</v>
      </c>
      <c r="C33" s="45">
        <v>1981</v>
      </c>
      <c r="D33" s="45">
        <v>858.9</v>
      </c>
      <c r="E33" s="39">
        <f>E4/D53*D33</f>
        <v>51175.6813361938</v>
      </c>
      <c r="F33" s="39">
        <f>(F4/G4*D33)+533.71</f>
        <v>33451.37989133634</v>
      </c>
      <c r="G33" s="39">
        <v>1259.19</v>
      </c>
      <c r="H33" s="39">
        <f>H4/D53*D33</f>
        <v>1926.553091103178</v>
      </c>
      <c r="I33" s="39">
        <f>3705.57</f>
        <v>3705.57</v>
      </c>
      <c r="J33" s="41">
        <v>0</v>
      </c>
      <c r="K33" s="57">
        <f>K4/D53*D33</f>
        <v>24981.534275752547</v>
      </c>
      <c r="L33" s="39">
        <f t="shared" si="1"/>
        <v>13609.939873429987</v>
      </c>
      <c r="M33" s="39">
        <f t="shared" si="2"/>
        <v>116499.90859438588</v>
      </c>
      <c r="N33" s="39">
        <v>131361.12</v>
      </c>
      <c r="O33" s="39">
        <v>124694.52</v>
      </c>
      <c r="P33" s="30">
        <f t="shared" si="0"/>
        <v>8194.611405614123</v>
      </c>
      <c r="Q33" s="36" t="s">
        <v>136</v>
      </c>
    </row>
    <row r="34" spans="1:17" s="2" customFormat="1" ht="57" customHeight="1" thickBot="1">
      <c r="A34" s="12">
        <v>25</v>
      </c>
      <c r="B34" s="16" t="s">
        <v>21</v>
      </c>
      <c r="C34" s="45">
        <v>1983</v>
      </c>
      <c r="D34" s="45">
        <v>3016.4</v>
      </c>
      <c r="E34" s="39">
        <f>E4/D53*D34</f>
        <v>179725.60854871926</v>
      </c>
      <c r="F34" s="39">
        <f>(F4/G4*D34)+1630+1868</f>
        <v>119102.67977672248</v>
      </c>
      <c r="G34" s="39">
        <v>3463.89</v>
      </c>
      <c r="H34" s="39">
        <f>H4/D53*D34</f>
        <v>6765.927050883253</v>
      </c>
      <c r="I34" s="60">
        <v>0</v>
      </c>
      <c r="J34" s="41">
        <v>0</v>
      </c>
      <c r="K34" s="57">
        <f>K4/D53*D34</f>
        <v>87733.49632015366</v>
      </c>
      <c r="L34" s="39">
        <f t="shared" si="1"/>
        <v>47797.20879521971</v>
      </c>
      <c r="M34" s="39">
        <f t="shared" si="2"/>
        <v>396791.60169647867</v>
      </c>
      <c r="N34" s="39">
        <v>461474.5</v>
      </c>
      <c r="O34" s="39">
        <v>463673.61</v>
      </c>
      <c r="P34" s="30">
        <f t="shared" si="0"/>
        <v>66882.00830352132</v>
      </c>
      <c r="Q34" s="35" t="s">
        <v>157</v>
      </c>
    </row>
    <row r="35" spans="1:17" s="2" customFormat="1" ht="47.25" customHeight="1" thickBot="1">
      <c r="A35" s="12">
        <v>26</v>
      </c>
      <c r="B35" s="16" t="s">
        <v>22</v>
      </c>
      <c r="C35" s="45">
        <v>1982</v>
      </c>
      <c r="D35" s="45">
        <v>878.3</v>
      </c>
      <c r="E35" s="39">
        <f>E4/D53*D35</f>
        <v>52331.587981812794</v>
      </c>
      <c r="F35" s="39">
        <f>(F4/G4*D35)+533.71</f>
        <v>34194.89228613425</v>
      </c>
      <c r="G35" s="39">
        <v>1231.88</v>
      </c>
      <c r="H35" s="39">
        <f>H4/D53*D35</f>
        <v>1970.068203418234</v>
      </c>
      <c r="I35" s="39">
        <f>3705.57</f>
        <v>3705.57</v>
      </c>
      <c r="J35" s="41">
        <v>0</v>
      </c>
      <c r="K35" s="57">
        <f>K4/D53*D35</f>
        <v>25545.79293793627</v>
      </c>
      <c r="L35" s="39">
        <f t="shared" si="1"/>
        <v>13917.347992587678</v>
      </c>
      <c r="M35" s="39">
        <f t="shared" si="2"/>
        <v>118979.79140930157</v>
      </c>
      <c r="N35" s="39">
        <v>137750.72</v>
      </c>
      <c r="O35" s="39">
        <v>130310.16</v>
      </c>
      <c r="P35" s="30">
        <f t="shared" si="0"/>
        <v>11330.368590698432</v>
      </c>
      <c r="Q35" s="36" t="s">
        <v>122</v>
      </c>
    </row>
    <row r="36" spans="1:17" s="2" customFormat="1" ht="39.75" customHeight="1" thickBot="1">
      <c r="A36" s="12">
        <v>27</v>
      </c>
      <c r="B36" s="16" t="s">
        <v>23</v>
      </c>
      <c r="C36" s="45">
        <v>1992</v>
      </c>
      <c r="D36" s="45">
        <v>2553.3</v>
      </c>
      <c r="E36" s="39">
        <f>E4/D53*D36</f>
        <v>152132.80609582446</v>
      </c>
      <c r="F36" s="39">
        <f>(F4/G4*D36)+1868+1868</f>
        <v>101592.19575451053</v>
      </c>
      <c r="G36" s="39">
        <v>2962.04</v>
      </c>
      <c r="H36" s="39">
        <f>(H4/D53*D36)+6725.25</f>
        <v>12452.421972888282</v>
      </c>
      <c r="I36" s="39">
        <v>0</v>
      </c>
      <c r="J36" s="41">
        <v>0</v>
      </c>
      <c r="K36" s="57">
        <f>K4/D53*D36</f>
        <v>74264.0021728711</v>
      </c>
      <c r="L36" s="39">
        <f t="shared" si="1"/>
        <v>40459.02838378017</v>
      </c>
      <c r="M36" s="39">
        <f t="shared" si="2"/>
        <v>343403.46599609434</v>
      </c>
      <c r="N36" s="39">
        <v>388259.06</v>
      </c>
      <c r="O36" s="39">
        <v>370417.21</v>
      </c>
      <c r="P36" s="30">
        <f t="shared" si="0"/>
        <v>27013.744003905682</v>
      </c>
      <c r="Q36" s="35" t="s">
        <v>57</v>
      </c>
    </row>
    <row r="37" spans="1:17" s="2" customFormat="1" ht="40.5" customHeight="1" thickBot="1">
      <c r="A37" s="12">
        <v>28</v>
      </c>
      <c r="B37" s="16" t="s">
        <v>25</v>
      </c>
      <c r="C37" s="45">
        <v>1987</v>
      </c>
      <c r="D37" s="45">
        <v>849.5</v>
      </c>
      <c r="E37" s="39">
        <f>E4/D53*D37</f>
        <v>50615.60285841965</v>
      </c>
      <c r="F37" s="39">
        <f>(F4/G4*D37)+533.71</f>
        <v>33091.121308289934</v>
      </c>
      <c r="G37" s="39">
        <v>467.84</v>
      </c>
      <c r="H37" s="39">
        <f>(H4/D53*D37)+746.12+2027.26</f>
        <v>4678.848449053615</v>
      </c>
      <c r="I37" s="39">
        <f>3705.57</f>
        <v>3705.57</v>
      </c>
      <c r="J37" s="41">
        <v>0</v>
      </c>
      <c r="K37" s="57">
        <f>K4/D53*D37</f>
        <v>24708.130594075898</v>
      </c>
      <c r="L37" s="39">
        <f t="shared" si="1"/>
        <v>13460.989547652547</v>
      </c>
      <c r="M37" s="39">
        <f t="shared" si="2"/>
        <v>117267.1132098391</v>
      </c>
      <c r="N37" s="39">
        <v>129421.7</v>
      </c>
      <c r="O37" s="39">
        <v>115426.87</v>
      </c>
      <c r="P37" s="30">
        <f t="shared" si="0"/>
        <v>-1840.2432098391</v>
      </c>
      <c r="Q37" s="36" t="s">
        <v>123</v>
      </c>
    </row>
    <row r="38" spans="1:17" s="2" customFormat="1" ht="37.5" customHeight="1" thickBot="1">
      <c r="A38" s="12">
        <v>29</v>
      </c>
      <c r="B38" s="16" t="s">
        <v>26</v>
      </c>
      <c r="C38" s="45">
        <v>1989</v>
      </c>
      <c r="D38" s="45">
        <v>856.7</v>
      </c>
      <c r="E38" s="39">
        <f>E4/D53*D38</f>
        <v>51044.599139267935</v>
      </c>
      <c r="F38" s="39">
        <f>(F4/G4*D38)+533.71</f>
        <v>33367.06405275101</v>
      </c>
      <c r="G38" s="39">
        <v>413.09</v>
      </c>
      <c r="H38" s="39">
        <f>H4/D53*D38</f>
        <v>1921.6183876447697</v>
      </c>
      <c r="I38" s="39">
        <f>9227.3+3705.57+2106+98670</f>
        <v>113708.87</v>
      </c>
      <c r="J38" s="41">
        <v>0</v>
      </c>
      <c r="K38" s="57">
        <f>K4/D53*D38</f>
        <v>24917.54618004099</v>
      </c>
      <c r="L38" s="39">
        <f t="shared" si="1"/>
        <v>13575.07915888633</v>
      </c>
      <c r="M38" s="39">
        <f t="shared" si="2"/>
        <v>225372.7877597047</v>
      </c>
      <c r="N38" s="39">
        <v>130643.29</v>
      </c>
      <c r="O38" s="39">
        <v>122674.75</v>
      </c>
      <c r="P38" s="30">
        <f t="shared" si="0"/>
        <v>-102698.03775970469</v>
      </c>
      <c r="Q38" s="36" t="s">
        <v>124</v>
      </c>
    </row>
    <row r="39" spans="1:17" s="2" customFormat="1" ht="42" customHeight="1" thickBot="1">
      <c r="A39" s="12">
        <v>30</v>
      </c>
      <c r="B39" s="16" t="s">
        <v>45</v>
      </c>
      <c r="C39" s="45">
        <v>1990</v>
      </c>
      <c r="D39" s="45">
        <v>996.3</v>
      </c>
      <c r="E39" s="39">
        <f>E4/D53*D39</f>
        <v>59362.36036238197</v>
      </c>
      <c r="F39" s="39">
        <f>(F4/G4*D39)+934</f>
        <v>39117.57726480195</v>
      </c>
      <c r="G39" s="39">
        <v>261043.41</v>
      </c>
      <c r="H39" s="39">
        <f>(H4/D53*D39)+2968+1622</f>
        <v>6824.747752551049</v>
      </c>
      <c r="I39" s="39">
        <f>1065</f>
        <v>1065</v>
      </c>
      <c r="J39" s="41">
        <v>0</v>
      </c>
      <c r="K39" s="57">
        <f>K4/D53*D39</f>
        <v>28977.881707919736</v>
      </c>
      <c r="L39" s="39">
        <f t="shared" si="1"/>
        <v>15787.149954474671</v>
      </c>
      <c r="M39" s="39">
        <f t="shared" si="2"/>
        <v>396390.9770876547</v>
      </c>
      <c r="N39" s="39">
        <v>182733.03</v>
      </c>
      <c r="O39" s="39">
        <v>175126.23</v>
      </c>
      <c r="P39" s="51">
        <f t="shared" si="0"/>
        <v>-221264.7470876547</v>
      </c>
      <c r="Q39" s="36" t="s">
        <v>107</v>
      </c>
    </row>
    <row r="40" spans="1:17" s="2" customFormat="1" ht="52.5" customHeight="1" thickBot="1">
      <c r="A40" s="12">
        <v>31</v>
      </c>
      <c r="B40" s="16" t="s">
        <v>46</v>
      </c>
      <c r="C40" s="45">
        <v>1990</v>
      </c>
      <c r="D40" s="46">
        <v>619</v>
      </c>
      <c r="E40" s="39">
        <f>E4/D53*D40</f>
        <v>36881.76358959595</v>
      </c>
      <c r="F40" s="39">
        <v>934</v>
      </c>
      <c r="G40" s="39">
        <v>2169.97</v>
      </c>
      <c r="H40" s="39">
        <f>H4/D53*D40</f>
        <v>1388.4461094340054</v>
      </c>
      <c r="I40" s="60">
        <f>8291</f>
        <v>8291</v>
      </c>
      <c r="J40" s="41">
        <v>0</v>
      </c>
      <c r="K40" s="57">
        <f>K4/D53*D40</f>
        <v>18003.923293387852</v>
      </c>
      <c r="L40" s="39">
        <f t="shared" si="1"/>
        <v>9808.5374102377</v>
      </c>
      <c r="M40" s="39">
        <f t="shared" si="2"/>
        <v>67669.10299241781</v>
      </c>
      <c r="N40" s="39">
        <v>93916.71</v>
      </c>
      <c r="O40" s="39">
        <v>72004.16</v>
      </c>
      <c r="P40" s="30">
        <f t="shared" si="0"/>
        <v>4335.057007582189</v>
      </c>
      <c r="Q40" s="36" t="s">
        <v>125</v>
      </c>
    </row>
    <row r="41" spans="1:17" s="2" customFormat="1" ht="52.5" customHeight="1" thickBot="1">
      <c r="A41" s="12">
        <v>32</v>
      </c>
      <c r="B41" s="16" t="s">
        <v>40</v>
      </c>
      <c r="C41" s="45">
        <v>1988</v>
      </c>
      <c r="D41" s="45">
        <v>373.2</v>
      </c>
      <c r="E41" s="39">
        <f>E4/D53*D41</f>
        <v>22236.30722396964</v>
      </c>
      <c r="F41" s="39">
        <f>(F4/G4*D41)</f>
        <v>14303.032254565982</v>
      </c>
      <c r="G41" s="39">
        <v>532.92</v>
      </c>
      <c r="H41" s="39">
        <f>H4/D53*D41</f>
        <v>837.1051503081919</v>
      </c>
      <c r="I41" s="60">
        <v>0</v>
      </c>
      <c r="J41" s="41">
        <v>0</v>
      </c>
      <c r="K41" s="57">
        <f>K4/D53*D41</f>
        <v>10854.707872523984</v>
      </c>
      <c r="L41" s="39">
        <f t="shared" si="1"/>
        <v>5913.644848951066</v>
      </c>
      <c r="M41" s="39">
        <f t="shared" si="2"/>
        <v>48764.072501367795</v>
      </c>
      <c r="N41" s="39">
        <v>51310.45</v>
      </c>
      <c r="O41" s="39">
        <v>52432.21</v>
      </c>
      <c r="P41" s="30">
        <f t="shared" si="0"/>
        <v>3668.1374986322044</v>
      </c>
      <c r="Q41" s="35" t="s">
        <v>103</v>
      </c>
    </row>
    <row r="42" spans="1:17" s="2" customFormat="1" ht="52.5" customHeight="1" thickBot="1">
      <c r="A42" s="12">
        <v>33</v>
      </c>
      <c r="B42" s="16" t="s">
        <v>27</v>
      </c>
      <c r="C42" s="45">
        <v>1964</v>
      </c>
      <c r="D42" s="45">
        <v>376.6</v>
      </c>
      <c r="E42" s="39">
        <f>E4/D53*D42</f>
        <v>22438.88880103689</v>
      </c>
      <c r="F42" s="39">
        <v>934</v>
      </c>
      <c r="G42" s="39">
        <v>1044.88</v>
      </c>
      <c r="H42" s="39">
        <f>H4/D53*D42</f>
        <v>844.7315101984595</v>
      </c>
      <c r="I42" s="60">
        <f>18454.6+4014</f>
        <v>22468.6</v>
      </c>
      <c r="J42" s="41">
        <v>0</v>
      </c>
      <c r="K42" s="57">
        <f>K4/D53*D42</f>
        <v>10953.598565896391</v>
      </c>
      <c r="L42" s="39">
        <f t="shared" si="1"/>
        <v>5967.5204987003535</v>
      </c>
      <c r="M42" s="39">
        <f t="shared" si="2"/>
        <v>58684.69887713174</v>
      </c>
      <c r="N42" s="39">
        <v>35618.84</v>
      </c>
      <c r="O42" s="39">
        <v>28829.96</v>
      </c>
      <c r="P42" s="30">
        <f t="shared" si="0"/>
        <v>-29854.738877131742</v>
      </c>
      <c r="Q42" s="35"/>
    </row>
    <row r="43" spans="1:17" s="2" customFormat="1" ht="52.5" customHeight="1" thickBot="1">
      <c r="A43" s="12">
        <v>34</v>
      </c>
      <c r="B43" s="16" t="s">
        <v>28</v>
      </c>
      <c r="C43" s="45">
        <v>1954</v>
      </c>
      <c r="D43" s="45">
        <v>400.3</v>
      </c>
      <c r="E43" s="39">
        <f>E4/D53*D43</f>
        <v>23851.001558829175</v>
      </c>
      <c r="F43" s="39">
        <v>934</v>
      </c>
      <c r="G43" s="39">
        <v>700.34</v>
      </c>
      <c r="H43" s="39">
        <f>H4/D53*D43</f>
        <v>897.8917247276775</v>
      </c>
      <c r="I43" s="60">
        <v>0</v>
      </c>
      <c r="J43" s="41">
        <v>0</v>
      </c>
      <c r="K43" s="57">
        <f>K4/D53*D43</f>
        <v>11642.924869698154</v>
      </c>
      <c r="L43" s="39">
        <f t="shared" si="1"/>
        <v>6343.065469011553</v>
      </c>
      <c r="M43" s="39">
        <f t="shared" si="2"/>
        <v>38026.158153255004</v>
      </c>
      <c r="N43" s="39">
        <v>37169.94</v>
      </c>
      <c r="O43" s="39">
        <v>39359.17</v>
      </c>
      <c r="P43" s="30">
        <f t="shared" si="0"/>
        <v>1333.0118467449938</v>
      </c>
      <c r="Q43" s="35"/>
    </row>
    <row r="44" spans="1:17" s="2" customFormat="1" ht="52.5" customHeight="1" thickBot="1">
      <c r="A44" s="12">
        <v>35</v>
      </c>
      <c r="B44" s="16" t="s">
        <v>30</v>
      </c>
      <c r="C44" s="45">
        <v>1970</v>
      </c>
      <c r="D44" s="45">
        <v>708.6</v>
      </c>
      <c r="E44" s="39">
        <f>E4/D53*D44</f>
        <v>42220.38397348577</v>
      </c>
      <c r="F44" s="39">
        <v>1868</v>
      </c>
      <c r="G44" s="39">
        <v>1051.29</v>
      </c>
      <c r="H44" s="39">
        <f>H4/D53*D44</f>
        <v>1589.423123012821</v>
      </c>
      <c r="I44" s="60">
        <f>18454.6+4213</f>
        <v>22667.6</v>
      </c>
      <c r="J44" s="41">
        <v>0</v>
      </c>
      <c r="K44" s="57">
        <f>K4/D53*D44</f>
        <v>20609.983918731232</v>
      </c>
      <c r="L44" s="39">
        <f t="shared" si="1"/>
        <v>11228.319238924774</v>
      </c>
      <c r="M44" s="39">
        <f t="shared" si="2"/>
        <v>90006.68101522983</v>
      </c>
      <c r="N44" s="39">
        <v>81276.39</v>
      </c>
      <c r="O44" s="39">
        <v>81966</v>
      </c>
      <c r="P44" s="51">
        <f t="shared" si="0"/>
        <v>-8040.681015229828</v>
      </c>
      <c r="Q44" s="35" t="s">
        <v>92</v>
      </c>
    </row>
    <row r="45" spans="1:17" s="2" customFormat="1" ht="52.5" customHeight="1" thickBot="1">
      <c r="A45" s="12">
        <v>36</v>
      </c>
      <c r="B45" s="16" t="s">
        <v>31</v>
      </c>
      <c r="C45" s="45">
        <v>1983</v>
      </c>
      <c r="D45" s="45">
        <v>383.1</v>
      </c>
      <c r="E45" s="39">
        <f>E4/D53*D45</f>
        <v>22826.17711013604</v>
      </c>
      <c r="F45" s="39">
        <f>(F4/G4*D45)+934</f>
        <v>15616.453528199969</v>
      </c>
      <c r="G45" s="39">
        <v>46.53</v>
      </c>
      <c r="H45" s="39">
        <f>H4/D53*D45</f>
        <v>859.3113158710298</v>
      </c>
      <c r="I45" s="60">
        <f>9227.3+2142</f>
        <v>11369.3</v>
      </c>
      <c r="J45" s="41">
        <v>0</v>
      </c>
      <c r="K45" s="57">
        <f>K4/D53*D45</f>
        <v>11142.654303225989</v>
      </c>
      <c r="L45" s="39">
        <f t="shared" si="1"/>
        <v>6070.518064397518</v>
      </c>
      <c r="M45" s="39">
        <f t="shared" si="2"/>
        <v>61860.42625743303</v>
      </c>
      <c r="N45" s="39">
        <v>58503.15</v>
      </c>
      <c r="O45" s="39">
        <v>58236.38</v>
      </c>
      <c r="P45" s="30">
        <f t="shared" si="0"/>
        <v>-3624.0462574330304</v>
      </c>
      <c r="Q45" s="35" t="s">
        <v>93</v>
      </c>
    </row>
    <row r="46" spans="1:17" s="2" customFormat="1" ht="52.5" customHeight="1" thickBot="1">
      <c r="A46" s="12">
        <v>37</v>
      </c>
      <c r="B46" s="33" t="s">
        <v>32</v>
      </c>
      <c r="C46" s="45">
        <v>1987</v>
      </c>
      <c r="D46" s="45">
        <v>4309.4</v>
      </c>
      <c r="E46" s="39">
        <f>E4/D53*D46</f>
        <v>256766.19065105778</v>
      </c>
      <c r="F46" s="39">
        <f>(F4/G4*D46)+934</f>
        <v>166093.39763619142</v>
      </c>
      <c r="G46" s="39">
        <v>3664.01</v>
      </c>
      <c r="H46" s="39">
        <f>(H4/D53*D46)+2189.66</f>
        <v>11855.846856211474</v>
      </c>
      <c r="I46" s="60">
        <f>6193+11336</f>
        <v>17529</v>
      </c>
      <c r="J46" s="41">
        <v>0</v>
      </c>
      <c r="K46" s="57">
        <f>K4/D53*D46</f>
        <v>125341.04529971826</v>
      </c>
      <c r="L46" s="39">
        <f t="shared" si="1"/>
        <v>68285.8014792865</v>
      </c>
      <c r="M46" s="39">
        <f t="shared" si="2"/>
        <v>581249.4904431789</v>
      </c>
      <c r="N46" s="39">
        <v>658455.32</v>
      </c>
      <c r="O46" s="39">
        <v>658632.49</v>
      </c>
      <c r="P46" s="30">
        <f t="shared" si="0"/>
        <v>77382.99955682107</v>
      </c>
      <c r="Q46" s="36" t="s">
        <v>108</v>
      </c>
    </row>
    <row r="47" spans="1:17" s="2" customFormat="1" ht="52.5" customHeight="1" thickBot="1">
      <c r="A47" s="12">
        <v>38</v>
      </c>
      <c r="B47" s="16" t="s">
        <v>33</v>
      </c>
      <c r="C47" s="45">
        <v>1986</v>
      </c>
      <c r="D47" s="45">
        <v>841.6</v>
      </c>
      <c r="E47" s="39">
        <f>E4/D53*D47</f>
        <v>50144.898605822214</v>
      </c>
      <c r="F47" s="39">
        <f>(F4/G4*D47)+1656+934</f>
        <v>34844.64079700624</v>
      </c>
      <c r="G47" s="39">
        <v>16.97</v>
      </c>
      <c r="H47" s="39">
        <f>(H4/D53*D47)+3999.89+1030</f>
        <v>6917.638377543875</v>
      </c>
      <c r="I47" s="60">
        <v>0</v>
      </c>
      <c r="J47" s="41">
        <v>0</v>
      </c>
      <c r="K47" s="57">
        <f>K4/D53*D47</f>
        <v>24478.35515947531</v>
      </c>
      <c r="L47" s="39">
        <f t="shared" si="1"/>
        <v>13335.807890882148</v>
      </c>
      <c r="M47" s="39">
        <f t="shared" si="2"/>
        <v>116402.50293984765</v>
      </c>
      <c r="N47" s="39">
        <v>128520.93</v>
      </c>
      <c r="O47" s="39">
        <v>128211.89</v>
      </c>
      <c r="P47" s="30">
        <f t="shared" si="0"/>
        <v>11809.387060152352</v>
      </c>
      <c r="Q47" s="36" t="s">
        <v>109</v>
      </c>
    </row>
    <row r="48" spans="1:18" s="2" customFormat="1" ht="52.5" customHeight="1" thickBot="1">
      <c r="A48" s="12">
        <v>39</v>
      </c>
      <c r="B48" s="17" t="s">
        <v>34</v>
      </c>
      <c r="C48" s="45">
        <v>1987</v>
      </c>
      <c r="D48" s="45">
        <v>872.5</v>
      </c>
      <c r="E48" s="39">
        <f>E4/D53*D48</f>
        <v>51986.007644462785</v>
      </c>
      <c r="F48" s="39">
        <f>(F4/G4*D48)+934</f>
        <v>34372.89507531838</v>
      </c>
      <c r="G48" s="39">
        <v>1441.54</v>
      </c>
      <c r="H48" s="39">
        <f>(H4/D53*D48)+4863.03+1179</f>
        <v>7999.0885306642485</v>
      </c>
      <c r="I48" s="60">
        <f>16490</f>
        <v>16490</v>
      </c>
      <c r="J48" s="41">
        <v>0</v>
      </c>
      <c r="K48" s="57">
        <f>K4/D53*D48</f>
        <v>25377.097049242166</v>
      </c>
      <c r="L48" s="39">
        <f t="shared" si="1"/>
        <v>13825.44247242713</v>
      </c>
      <c r="M48" s="39">
        <f t="shared" si="2"/>
        <v>137666.62829968758</v>
      </c>
      <c r="N48" s="39">
        <v>132964.95</v>
      </c>
      <c r="O48" s="39">
        <v>133943.56</v>
      </c>
      <c r="P48" s="30">
        <f t="shared" si="0"/>
        <v>-3723.068299687584</v>
      </c>
      <c r="Q48" s="36" t="s">
        <v>116</v>
      </c>
      <c r="R48" s="2" t="s">
        <v>112</v>
      </c>
    </row>
    <row r="49" spans="1:17" s="2" customFormat="1" ht="52.5" customHeight="1" thickBot="1">
      <c r="A49" s="12">
        <v>40</v>
      </c>
      <c r="B49" s="17" t="s">
        <v>35</v>
      </c>
      <c r="C49" s="45">
        <v>1983</v>
      </c>
      <c r="D49" s="45">
        <v>826.2</v>
      </c>
      <c r="E49" s="39">
        <f>E4/D53*D49</f>
        <v>49227.323227341156</v>
      </c>
      <c r="F49" s="39">
        <f>(F4/G4*D49)+934</f>
        <v>32598.42992690894</v>
      </c>
      <c r="G49" s="39">
        <v>955.41</v>
      </c>
      <c r="H49" s="39">
        <f>H4/D53*D49</f>
        <v>1853.2054533350167</v>
      </c>
      <c r="I49" s="60">
        <v>0</v>
      </c>
      <c r="J49" s="41">
        <v>0</v>
      </c>
      <c r="K49" s="57">
        <f>K4/D53*D49</f>
        <v>24030.438489494416</v>
      </c>
      <c r="L49" s="39">
        <f t="shared" si="1"/>
        <v>13091.782889076556</v>
      </c>
      <c r="M49" s="39">
        <f t="shared" si="2"/>
        <v>108664.80709707952</v>
      </c>
      <c r="N49" s="39">
        <v>126204.84</v>
      </c>
      <c r="O49" s="39">
        <v>127744.42</v>
      </c>
      <c r="P49" s="30">
        <f t="shared" si="0"/>
        <v>19079.612902920475</v>
      </c>
      <c r="Q49" s="36" t="s">
        <v>128</v>
      </c>
    </row>
    <row r="50" spans="1:17" s="2" customFormat="1" ht="52.5" customHeight="1" thickBot="1">
      <c r="A50" s="12">
        <v>41</v>
      </c>
      <c r="B50" s="16" t="s">
        <v>36</v>
      </c>
      <c r="C50" s="45">
        <v>1987</v>
      </c>
      <c r="D50" s="45">
        <v>4280.1</v>
      </c>
      <c r="E50" s="39">
        <f>E4/D53*D50</f>
        <v>255020.41411927243</v>
      </c>
      <c r="F50" s="39">
        <f>(F4/G4*D50)+934</f>
        <v>164970.46396775957</v>
      </c>
      <c r="G50" s="39">
        <v>4667.18</v>
      </c>
      <c r="H50" s="39">
        <f>(H4/D53*D50)+5080.72</f>
        <v>14681.185578333581</v>
      </c>
      <c r="I50" s="60">
        <v>0</v>
      </c>
      <c r="J50" s="41">
        <v>0</v>
      </c>
      <c r="K50" s="57">
        <f>K4/D53*D50</f>
        <v>124488.84020683255</v>
      </c>
      <c r="L50" s="39">
        <f t="shared" si="1"/>
        <v>67821.52014468236</v>
      </c>
      <c r="M50" s="39">
        <f t="shared" si="2"/>
        <v>563828.0838721981</v>
      </c>
      <c r="N50" s="39">
        <v>653308.8</v>
      </c>
      <c r="O50" s="39">
        <v>646326.91</v>
      </c>
      <c r="P50" s="30">
        <f t="shared" si="0"/>
        <v>82498.8261278019</v>
      </c>
      <c r="Q50" s="36" t="s">
        <v>110</v>
      </c>
    </row>
    <row r="51" spans="1:17" s="2" customFormat="1" ht="52.5" customHeight="1" thickBot="1">
      <c r="A51" s="12">
        <v>42</v>
      </c>
      <c r="B51" s="32" t="s">
        <v>37</v>
      </c>
      <c r="C51" s="45">
        <v>1985</v>
      </c>
      <c r="D51" s="45">
        <v>4234.9</v>
      </c>
      <c r="E51" s="39">
        <f>E4/D53*D51</f>
        <v>252327.27080061368</v>
      </c>
      <c r="F51" s="39">
        <f>(F4/G4*D51)+1868</f>
        <v>164172.15673864275</v>
      </c>
      <c r="G51" s="39">
        <v>7160.53</v>
      </c>
      <c r="H51" s="39">
        <f>(H4/D53*D51)+34176.68+26926.97</f>
        <v>70602.72985273355</v>
      </c>
      <c r="I51" s="60">
        <f>6389+22046</f>
        <v>28435</v>
      </c>
      <c r="J51" s="41">
        <v>0</v>
      </c>
      <c r="K51" s="57">
        <f>K4/D53*D51</f>
        <v>123174.17569494057</v>
      </c>
      <c r="L51" s="39">
        <f t="shared" si="1"/>
        <v>67105.29091860361</v>
      </c>
      <c r="M51" s="39">
        <f t="shared" si="2"/>
        <v>645871.8630869306</v>
      </c>
      <c r="N51" s="39">
        <v>646470.46</v>
      </c>
      <c r="O51" s="39">
        <v>619744.56</v>
      </c>
      <c r="P51" s="30">
        <f t="shared" si="0"/>
        <v>-26127.303086930537</v>
      </c>
      <c r="Q51" s="35" t="s">
        <v>94</v>
      </c>
    </row>
    <row r="52" spans="1:17" s="2" customFormat="1" ht="52.5" customHeight="1" thickBot="1">
      <c r="A52" s="12">
        <v>43</v>
      </c>
      <c r="B52" s="17" t="s">
        <v>38</v>
      </c>
      <c r="C52" s="45">
        <v>1986</v>
      </c>
      <c r="D52" s="45">
        <v>843.8</v>
      </c>
      <c r="E52" s="39">
        <f>E4/D53*D52</f>
        <v>50275.980802748076</v>
      </c>
      <c r="F52" s="39">
        <f>(F4/G4*D52)+1031+1868</f>
        <v>35237.956635591574</v>
      </c>
      <c r="G52" s="39">
        <v>3022.11</v>
      </c>
      <c r="H52" s="39">
        <f>H4/D53*D52</f>
        <v>1892.6830810022839</v>
      </c>
      <c r="I52" s="60">
        <f>5808</f>
        <v>5808</v>
      </c>
      <c r="J52" s="41">
        <v>0</v>
      </c>
      <c r="K52" s="57">
        <f>K4/D53*D52</f>
        <v>24542.343255186865</v>
      </c>
      <c r="L52" s="39">
        <f t="shared" si="1"/>
        <v>13370.668605425803</v>
      </c>
      <c r="M52" s="39">
        <f t="shared" si="2"/>
        <v>120779.07377452879</v>
      </c>
      <c r="N52" s="39">
        <v>125945.08</v>
      </c>
      <c r="O52" s="39">
        <v>130688.34</v>
      </c>
      <c r="P52" s="30">
        <f t="shared" si="0"/>
        <v>9909.266225471205</v>
      </c>
      <c r="Q52" s="35" t="s">
        <v>95</v>
      </c>
    </row>
    <row r="53" spans="1:17" ht="52.5" customHeight="1" thickBot="1">
      <c r="A53" s="25"/>
      <c r="B53" s="18" t="s">
        <v>69</v>
      </c>
      <c r="C53" s="47"/>
      <c r="D53" s="48">
        <f aca="true" t="shared" si="3" ref="D53:I53">SUM(D10:D52)</f>
        <v>64469.54000000001</v>
      </c>
      <c r="E53" s="40">
        <f t="shared" si="3"/>
        <v>3841276.7899999996</v>
      </c>
      <c r="F53" s="40">
        <f t="shared" si="3"/>
        <v>2441800.9385488927</v>
      </c>
      <c r="G53" s="40">
        <f t="shared" si="3"/>
        <v>469241.98</v>
      </c>
      <c r="H53" s="40">
        <f t="shared" si="3"/>
        <v>522022.79999999993</v>
      </c>
      <c r="I53" s="61">
        <f t="shared" si="3"/>
        <v>645374.3</v>
      </c>
      <c r="J53" s="40">
        <f aca="true" t="shared" si="4" ref="J53:P53">SUM(J10:J52)</f>
        <v>0</v>
      </c>
      <c r="K53" s="31">
        <f t="shared" si="4"/>
        <v>1875128.6799999995</v>
      </c>
      <c r="L53" s="40">
        <f t="shared" si="4"/>
        <v>1021570.1048639996</v>
      </c>
      <c r="M53" s="40">
        <f t="shared" si="4"/>
        <v>9794845.488548892</v>
      </c>
      <c r="N53" s="40">
        <f t="shared" si="4"/>
        <v>9726130.9</v>
      </c>
      <c r="O53" s="40">
        <f t="shared" si="4"/>
        <v>9363916.87</v>
      </c>
      <c r="P53" s="31">
        <f t="shared" si="4"/>
        <v>-430928.6185488912</v>
      </c>
      <c r="Q53" s="35"/>
    </row>
    <row r="54" spans="1:17" s="28" customFormat="1" ht="52.5" customHeight="1" thickBot="1">
      <c r="A54" s="53" t="s">
        <v>2</v>
      </c>
      <c r="B54" s="54" t="s">
        <v>70</v>
      </c>
      <c r="C54" s="55">
        <v>1973</v>
      </c>
      <c r="D54" s="76">
        <v>331.1</v>
      </c>
      <c r="E54" s="56">
        <f>E3/D69*$D$54</f>
        <v>4827.96059621836</v>
      </c>
      <c r="F54" s="56">
        <v>0</v>
      </c>
      <c r="G54" s="56">
        <v>447.69</v>
      </c>
      <c r="H54" s="77">
        <f>1788</f>
        <v>1788</v>
      </c>
      <c r="I54" s="77">
        <v>17066</v>
      </c>
      <c r="J54" s="56">
        <f aca="true" t="shared" si="5" ref="J54:J61">(250.56+1044)*1.18</f>
        <v>1527.5808</v>
      </c>
      <c r="K54" s="56">
        <f>(K3/D69*D54)+622.7</f>
        <v>19256.879760597745</v>
      </c>
      <c r="L54" s="56">
        <f>K54*54.48%</f>
        <v>10491.14809357365</v>
      </c>
      <c r="M54" s="57">
        <f t="shared" si="2"/>
        <v>44914.1111568161</v>
      </c>
      <c r="N54" s="56">
        <v>44402.44</v>
      </c>
      <c r="O54" s="56">
        <v>39051.83</v>
      </c>
      <c r="P54" s="30">
        <f aca="true" t="shared" si="6" ref="P54:P68">O54-M54</f>
        <v>-5862.281156816098</v>
      </c>
      <c r="Q54" s="58" t="s">
        <v>130</v>
      </c>
    </row>
    <row r="55" spans="1:17" ht="52.5" customHeight="1" thickBot="1">
      <c r="A55" s="15">
        <v>2</v>
      </c>
      <c r="B55" s="16" t="s">
        <v>71</v>
      </c>
      <c r="C55" s="49">
        <v>1976</v>
      </c>
      <c r="D55" s="49">
        <v>371.4</v>
      </c>
      <c r="E55" s="41">
        <f>E3/D69*D55</f>
        <v>5415.598204275139</v>
      </c>
      <c r="F55" s="56">
        <v>0</v>
      </c>
      <c r="G55" s="41">
        <v>1337.06</v>
      </c>
      <c r="H55" s="62">
        <v>0</v>
      </c>
      <c r="I55" s="62">
        <v>17066</v>
      </c>
      <c r="J55" s="41">
        <f t="shared" si="5"/>
        <v>1527.5808</v>
      </c>
      <c r="K55" s="56">
        <f>(K3/D69*D55)+622.7</f>
        <v>21524.94815187557</v>
      </c>
      <c r="L55" s="41">
        <f aca="true" t="shared" si="7" ref="L55:L68">K55*54.48%</f>
        <v>11726.79175314181</v>
      </c>
      <c r="M55" s="39">
        <f t="shared" si="2"/>
        <v>46871.187156150714</v>
      </c>
      <c r="N55" s="41">
        <v>45191.09</v>
      </c>
      <c r="O55" s="41">
        <v>44640</v>
      </c>
      <c r="P55" s="30">
        <f t="shared" si="6"/>
        <v>-2231.187156150714</v>
      </c>
      <c r="Q55" s="35" t="s">
        <v>96</v>
      </c>
    </row>
    <row r="56" spans="1:17" ht="52.5" customHeight="1" thickBot="1">
      <c r="A56" s="15">
        <v>3</v>
      </c>
      <c r="B56" s="16" t="s">
        <v>72</v>
      </c>
      <c r="C56" s="49">
        <v>1975</v>
      </c>
      <c r="D56" s="49">
        <v>371.4</v>
      </c>
      <c r="E56" s="41">
        <f>E3/D69*D56</f>
        <v>5415.598204275139</v>
      </c>
      <c r="F56" s="56">
        <v>0</v>
      </c>
      <c r="G56" s="41">
        <v>197.67</v>
      </c>
      <c r="H56" s="62">
        <f>1614</f>
        <v>1614</v>
      </c>
      <c r="I56" s="62">
        <v>17066</v>
      </c>
      <c r="J56" s="41">
        <f t="shared" si="5"/>
        <v>1527.5808</v>
      </c>
      <c r="K56" s="56">
        <f>K3/D69*D56+622.7</f>
        <v>21524.94815187557</v>
      </c>
      <c r="L56" s="41">
        <f t="shared" si="7"/>
        <v>11726.79175314181</v>
      </c>
      <c r="M56" s="39">
        <f t="shared" si="2"/>
        <v>47345.797156150715</v>
      </c>
      <c r="N56" s="41">
        <v>32240.06</v>
      </c>
      <c r="O56" s="41">
        <v>23928.55</v>
      </c>
      <c r="P56" s="30">
        <f t="shared" si="6"/>
        <v>-23417.247156150715</v>
      </c>
      <c r="Q56" s="36" t="s">
        <v>111</v>
      </c>
    </row>
    <row r="57" spans="1:17" ht="52.5" customHeight="1" thickBot="1">
      <c r="A57" s="15">
        <v>4</v>
      </c>
      <c r="B57" s="16" t="s">
        <v>73</v>
      </c>
      <c r="C57" s="49">
        <v>1986</v>
      </c>
      <c r="D57" s="49">
        <v>496.8</v>
      </c>
      <c r="E57" s="41">
        <f>E3/D69*D57</f>
        <v>7244.128131082093</v>
      </c>
      <c r="F57" s="56">
        <v>0</v>
      </c>
      <c r="G57" s="41">
        <v>170.08</v>
      </c>
      <c r="H57" s="62">
        <f>36727.27+6331.96+683</f>
        <v>43742.229999999996</v>
      </c>
      <c r="I57" s="62">
        <v>0</v>
      </c>
      <c r="J57" s="41">
        <f t="shared" si="5"/>
        <v>1527.5808</v>
      </c>
      <c r="K57" s="56">
        <f>K3/D69*D57+934</f>
        <v>28893.711582799635</v>
      </c>
      <c r="L57" s="41">
        <f t="shared" si="7"/>
        <v>15741.294070309239</v>
      </c>
      <c r="M57" s="39">
        <f t="shared" si="2"/>
        <v>81577.73051388173</v>
      </c>
      <c r="N57" s="41">
        <v>60667.34</v>
      </c>
      <c r="O57" s="41">
        <v>54121.54</v>
      </c>
      <c r="P57" s="51">
        <f t="shared" si="6"/>
        <v>-27456.19051388173</v>
      </c>
      <c r="Q57" s="36" t="s">
        <v>131</v>
      </c>
    </row>
    <row r="58" spans="1:17" ht="52.5" customHeight="1" thickBot="1">
      <c r="A58" s="15">
        <v>5</v>
      </c>
      <c r="B58" s="16" t="s">
        <v>74</v>
      </c>
      <c r="C58" s="49">
        <v>1981</v>
      </c>
      <c r="D58" s="49">
        <v>500.6</v>
      </c>
      <c r="E58" s="41">
        <f>E3/D69*D58</f>
        <v>7299.538128864122</v>
      </c>
      <c r="F58" s="56">
        <v>0</v>
      </c>
      <c r="G58" s="41">
        <v>234.1</v>
      </c>
      <c r="H58" s="62">
        <v>0</v>
      </c>
      <c r="I58" s="62">
        <v>0</v>
      </c>
      <c r="J58" s="41">
        <f t="shared" si="5"/>
        <v>1527.5808</v>
      </c>
      <c r="K58" s="56">
        <f>K3/D69*D58+934</f>
        <v>29107.574111009457</v>
      </c>
      <c r="L58" s="41">
        <f t="shared" si="7"/>
        <v>15857.80637567795</v>
      </c>
      <c r="M58" s="39">
        <f t="shared" si="2"/>
        <v>38168.79303987358</v>
      </c>
      <c r="N58" s="41">
        <v>60342.38</v>
      </c>
      <c r="O58" s="41">
        <v>57467.38</v>
      </c>
      <c r="P58" s="51">
        <f t="shared" si="6"/>
        <v>19298.58696012642</v>
      </c>
      <c r="Q58" s="36" t="s">
        <v>132</v>
      </c>
    </row>
    <row r="59" spans="1:17" ht="52.5" customHeight="1" thickBot="1">
      <c r="A59" s="15">
        <v>6</v>
      </c>
      <c r="B59" s="16" t="s">
        <v>75</v>
      </c>
      <c r="C59" s="49">
        <v>1985</v>
      </c>
      <c r="D59" s="49">
        <v>491.2</v>
      </c>
      <c r="E59" s="41">
        <f>E3/D69*D59</f>
        <v>7162.471292245418</v>
      </c>
      <c r="F59" s="56">
        <v>0</v>
      </c>
      <c r="G59" s="41">
        <v>138.5</v>
      </c>
      <c r="H59" s="62">
        <f>1774</f>
        <v>1774</v>
      </c>
      <c r="I59" s="62">
        <v>0</v>
      </c>
      <c r="J59" s="41">
        <f t="shared" si="5"/>
        <v>1527.5808</v>
      </c>
      <c r="K59" s="56">
        <f>K3/D69*D59+622.7</f>
        <v>28267.245751753584</v>
      </c>
      <c r="L59" s="41">
        <f t="shared" si="7"/>
        <v>15399.995485555351</v>
      </c>
      <c r="M59" s="39">
        <f t="shared" si="2"/>
        <v>38869.797843999004</v>
      </c>
      <c r="N59" s="41">
        <v>61879.9</v>
      </c>
      <c r="O59" s="41">
        <v>62076.67</v>
      </c>
      <c r="P59" s="51">
        <f t="shared" si="6"/>
        <v>23206.872156000994</v>
      </c>
      <c r="Q59" s="36" t="s">
        <v>138</v>
      </c>
    </row>
    <row r="60" spans="1:17" ht="52.5" customHeight="1" thickBot="1">
      <c r="A60" s="15">
        <v>7</v>
      </c>
      <c r="B60" s="16" t="s">
        <v>76</v>
      </c>
      <c r="C60" s="49">
        <v>1966</v>
      </c>
      <c r="D60" s="49">
        <v>358.1</v>
      </c>
      <c r="E60" s="41">
        <f>E3/D69*D60</f>
        <v>5221.663212038038</v>
      </c>
      <c r="F60" s="56">
        <v>0</v>
      </c>
      <c r="G60" s="41">
        <v>956.08</v>
      </c>
      <c r="H60" s="62">
        <v>0</v>
      </c>
      <c r="I60" s="62">
        <v>0</v>
      </c>
      <c r="J60" s="41">
        <f t="shared" si="5"/>
        <v>1527.5808</v>
      </c>
      <c r="K60" s="56">
        <f>K3/D69*D60+622.7</f>
        <v>20776.429303141205</v>
      </c>
      <c r="L60" s="41">
        <f t="shared" si="7"/>
        <v>11318.998684351327</v>
      </c>
      <c r="M60" s="39">
        <f t="shared" si="2"/>
        <v>28481.753315179245</v>
      </c>
      <c r="N60" s="41">
        <v>47037.58</v>
      </c>
      <c r="O60" s="41">
        <v>50944.74</v>
      </c>
      <c r="P60" s="51">
        <f t="shared" si="6"/>
        <v>22462.986684820753</v>
      </c>
      <c r="Q60" s="36" t="s">
        <v>133</v>
      </c>
    </row>
    <row r="61" spans="1:17" ht="52.5" customHeight="1" thickBot="1">
      <c r="A61" s="15">
        <v>8</v>
      </c>
      <c r="B61" s="16" t="s">
        <v>77</v>
      </c>
      <c r="C61" s="49">
        <v>1985</v>
      </c>
      <c r="D61" s="49">
        <v>485.2</v>
      </c>
      <c r="E61" s="41">
        <f>E3/D69*D61</f>
        <v>7074.981822063268</v>
      </c>
      <c r="F61" s="56">
        <v>0</v>
      </c>
      <c r="G61" s="41">
        <v>27.93</v>
      </c>
      <c r="H61" s="62">
        <v>0</v>
      </c>
      <c r="I61" s="62">
        <v>0</v>
      </c>
      <c r="J61" s="41">
        <f t="shared" si="5"/>
        <v>1527.5808</v>
      </c>
      <c r="K61" s="56">
        <f>K3/D69*D61+622.7</f>
        <v>27929.568075632815</v>
      </c>
      <c r="L61" s="41">
        <f t="shared" si="7"/>
        <v>15216.028687604756</v>
      </c>
      <c r="M61" s="39">
        <f t="shared" si="2"/>
        <v>36560.060697696084</v>
      </c>
      <c r="N61" s="41">
        <v>61129.83</v>
      </c>
      <c r="O61" s="41">
        <v>45385.01</v>
      </c>
      <c r="P61" s="51">
        <f t="shared" si="6"/>
        <v>8824.949302303918</v>
      </c>
      <c r="Q61" s="36" t="s">
        <v>137</v>
      </c>
    </row>
    <row r="62" spans="1:17" ht="52.5" customHeight="1" thickBot="1">
      <c r="A62" s="15">
        <v>9</v>
      </c>
      <c r="B62" s="16" t="s">
        <v>78</v>
      </c>
      <c r="C62" s="49">
        <v>1962</v>
      </c>
      <c r="D62" s="50">
        <v>378</v>
      </c>
      <c r="E62" s="41">
        <f>E3/D69*D62</f>
        <v>5511.836621475505</v>
      </c>
      <c r="F62" s="56">
        <v>0</v>
      </c>
      <c r="G62" s="41">
        <v>0</v>
      </c>
      <c r="H62" s="62">
        <v>0</v>
      </c>
      <c r="I62" s="62">
        <v>0</v>
      </c>
      <c r="J62" s="41">
        <f>(12.96+130.5)*1.18</f>
        <v>169.2828</v>
      </c>
      <c r="K62" s="56">
        <f>K3/D69*D62+934</f>
        <v>22207.693595608416</v>
      </c>
      <c r="L62" s="41">
        <f t="shared" si="7"/>
        <v>12098.751470887464</v>
      </c>
      <c r="M62" s="39">
        <f t="shared" si="2"/>
        <v>27888.81301708392</v>
      </c>
      <c r="N62" s="41">
        <v>13652.34</v>
      </c>
      <c r="O62" s="41">
        <v>12280.96</v>
      </c>
      <c r="P62" s="51">
        <f t="shared" si="6"/>
        <v>-15607.853017083922</v>
      </c>
      <c r="Q62" s="35"/>
    </row>
    <row r="63" spans="1:17" ht="52.5" customHeight="1" thickBot="1">
      <c r="A63" s="15">
        <v>10</v>
      </c>
      <c r="B63" s="16" t="s">
        <v>79</v>
      </c>
      <c r="C63" s="49">
        <v>1963</v>
      </c>
      <c r="D63" s="49">
        <v>361.7</v>
      </c>
      <c r="E63" s="41">
        <f>E3/D69*D63</f>
        <v>5274.156894147329</v>
      </c>
      <c r="F63" s="56">
        <v>0</v>
      </c>
      <c r="G63" s="41">
        <v>778.99</v>
      </c>
      <c r="H63" s="62">
        <v>0</v>
      </c>
      <c r="I63" s="62">
        <v>0</v>
      </c>
      <c r="J63" s="41">
        <f>(250.56+1044)*1.18</f>
        <v>1527.5808</v>
      </c>
      <c r="K63" s="56">
        <f>K3/D69*D63+934</f>
        <v>21290.335908813664</v>
      </c>
      <c r="L63" s="41">
        <f t="shared" si="7"/>
        <v>11598.975003121683</v>
      </c>
      <c r="M63" s="39">
        <f t="shared" si="2"/>
        <v>28871.063602960992</v>
      </c>
      <c r="N63" s="41">
        <v>43966.07</v>
      </c>
      <c r="O63" s="41">
        <v>39563.51</v>
      </c>
      <c r="P63" s="51">
        <f t="shared" si="6"/>
        <v>10692.44639703901</v>
      </c>
      <c r="Q63" s="35" t="s">
        <v>99</v>
      </c>
    </row>
    <row r="64" spans="1:17" ht="52.5" customHeight="1" thickBot="1">
      <c r="A64" s="15">
        <v>11</v>
      </c>
      <c r="B64" s="16" t="s">
        <v>80</v>
      </c>
      <c r="C64" s="49">
        <v>1968</v>
      </c>
      <c r="D64" s="49">
        <v>361.7</v>
      </c>
      <c r="E64" s="41">
        <f>E3/D69*D64</f>
        <v>5274.156894147329</v>
      </c>
      <c r="F64" s="56">
        <v>0</v>
      </c>
      <c r="G64" s="41">
        <v>1780.81</v>
      </c>
      <c r="H64" s="62">
        <v>0</v>
      </c>
      <c r="I64" s="62">
        <v>0</v>
      </c>
      <c r="J64" s="41">
        <f>(250.56+1044)*1.18</f>
        <v>1527.5808</v>
      </c>
      <c r="K64" s="56">
        <f>K3/D69*D64+934</f>
        <v>21290.335908813664</v>
      </c>
      <c r="L64" s="41">
        <f t="shared" si="7"/>
        <v>11598.975003121683</v>
      </c>
      <c r="M64" s="39">
        <f t="shared" si="2"/>
        <v>29872.883602960992</v>
      </c>
      <c r="N64" s="41">
        <v>39033.12</v>
      </c>
      <c r="O64" s="41">
        <v>25329.53</v>
      </c>
      <c r="P64" s="51">
        <f t="shared" si="6"/>
        <v>-4543.353602960993</v>
      </c>
      <c r="Q64" s="35" t="s">
        <v>98</v>
      </c>
    </row>
    <row r="65" spans="1:17" ht="52.5" customHeight="1" thickBot="1">
      <c r="A65" s="15">
        <v>12</v>
      </c>
      <c r="B65" s="16" t="s">
        <v>81</v>
      </c>
      <c r="C65" s="49">
        <v>1969</v>
      </c>
      <c r="D65" s="50">
        <v>336</v>
      </c>
      <c r="E65" s="41">
        <f>E3/D69*D65</f>
        <v>4899.41033020045</v>
      </c>
      <c r="F65" s="56">
        <v>0</v>
      </c>
      <c r="G65" s="41">
        <v>302.33</v>
      </c>
      <c r="H65" s="62">
        <f>12674.8</f>
        <v>12674.8</v>
      </c>
      <c r="I65" s="62">
        <v>0</v>
      </c>
      <c r="J65" s="41">
        <f>(250.56+1044)*1.18</f>
        <v>1527.5808</v>
      </c>
      <c r="K65" s="56">
        <f>K3/D69*D65+934</f>
        <v>19843.94986276304</v>
      </c>
      <c r="L65" s="41">
        <f t="shared" si="7"/>
        <v>10810.983885233301</v>
      </c>
      <c r="M65" s="39">
        <f t="shared" si="2"/>
        <v>39248.07099296349</v>
      </c>
      <c r="N65" s="41">
        <v>44103.5</v>
      </c>
      <c r="O65" s="41">
        <v>22950.13</v>
      </c>
      <c r="P65" s="51">
        <f t="shared" si="6"/>
        <v>-16297.94099296349</v>
      </c>
      <c r="Q65" s="36" t="s">
        <v>129</v>
      </c>
    </row>
    <row r="66" spans="1:17" ht="52.5" customHeight="1" thickBot="1">
      <c r="A66" s="15">
        <v>13</v>
      </c>
      <c r="B66" s="16" t="s">
        <v>82</v>
      </c>
      <c r="C66" s="49">
        <v>1971</v>
      </c>
      <c r="D66" s="50">
        <v>750.2</v>
      </c>
      <c r="E66" s="41">
        <f>E3/D69*D66</f>
        <v>10939.100088441599</v>
      </c>
      <c r="F66" s="56">
        <v>0</v>
      </c>
      <c r="G66" s="41">
        <v>2614.23</v>
      </c>
      <c r="H66" s="62">
        <v>0</v>
      </c>
      <c r="I66" s="62">
        <v>0</v>
      </c>
      <c r="J66" s="41">
        <f>(466.56+2088)*1.18</f>
        <v>3014.3808</v>
      </c>
      <c r="K66" s="56">
        <f>K3/D69*D66+1245.33</f>
        <v>43466.29543763343</v>
      </c>
      <c r="L66" s="41">
        <f t="shared" si="7"/>
        <v>23680.43775442269</v>
      </c>
      <c r="M66" s="39">
        <f t="shared" si="2"/>
        <v>60034.00632607503</v>
      </c>
      <c r="N66" s="41">
        <v>92544.94</v>
      </c>
      <c r="O66" s="41">
        <v>70228.44</v>
      </c>
      <c r="P66" s="51">
        <f t="shared" si="6"/>
        <v>10194.43367392497</v>
      </c>
      <c r="Q66" s="36" t="s">
        <v>134</v>
      </c>
    </row>
    <row r="67" spans="1:17" ht="52.5" customHeight="1" thickBot="1">
      <c r="A67" s="15">
        <v>14</v>
      </c>
      <c r="B67" s="16" t="s">
        <v>83</v>
      </c>
      <c r="C67" s="49">
        <v>1979</v>
      </c>
      <c r="D67" s="49">
        <v>810.2</v>
      </c>
      <c r="E67" s="41">
        <f>E3/D69*D67</f>
        <v>11813.994790263108</v>
      </c>
      <c r="F67" s="56">
        <v>0</v>
      </c>
      <c r="G67" s="41">
        <v>7241.71</v>
      </c>
      <c r="H67" s="62">
        <f>61069.66+1882+2357</f>
        <v>65308.66</v>
      </c>
      <c r="I67" s="62">
        <v>0</v>
      </c>
      <c r="J67" s="41">
        <f>(311.04+2349)*1.18</f>
        <v>3138.8471999999997</v>
      </c>
      <c r="K67" s="56">
        <f>K3/D69*D67+1245.33</f>
        <v>46843.07219884112</v>
      </c>
      <c r="L67" s="41">
        <f t="shared" si="7"/>
        <v>25520.105733928638</v>
      </c>
      <c r="M67" s="39">
        <f t="shared" si="2"/>
        <v>134346.28418910425</v>
      </c>
      <c r="N67" s="41">
        <v>96244.65</v>
      </c>
      <c r="O67" s="41">
        <v>75551</v>
      </c>
      <c r="P67" s="51">
        <f t="shared" si="6"/>
        <v>-58795.28418910425</v>
      </c>
      <c r="Q67" s="35" t="s">
        <v>97</v>
      </c>
    </row>
    <row r="68" spans="1:17" s="28" customFormat="1" ht="52.5" customHeight="1" thickBot="1">
      <c r="A68" s="53">
        <v>15</v>
      </c>
      <c r="B68" s="54" t="s">
        <v>84</v>
      </c>
      <c r="C68" s="55">
        <v>1979</v>
      </c>
      <c r="D68" s="55">
        <v>810.2</v>
      </c>
      <c r="E68" s="41">
        <f>E3/D69*D68</f>
        <v>11813.994790263108</v>
      </c>
      <c r="F68" s="56">
        <v>0</v>
      </c>
      <c r="G68" s="41">
        <v>992.5</v>
      </c>
      <c r="H68" s="41">
        <f>5784</f>
        <v>5784</v>
      </c>
      <c r="I68" s="62">
        <f>4188</f>
        <v>4188</v>
      </c>
      <c r="J68" s="41">
        <f>(311.04+2349)*1.18</f>
        <v>3138.8471999999997</v>
      </c>
      <c r="K68" s="56">
        <f>(K3/D69*D68)+1245.33</f>
        <v>46843.07219884112</v>
      </c>
      <c r="L68" s="56">
        <f t="shared" si="7"/>
        <v>25520.105733928638</v>
      </c>
      <c r="M68" s="57">
        <f t="shared" si="2"/>
        <v>72760.41418910422</v>
      </c>
      <c r="N68" s="41">
        <v>95554.49</v>
      </c>
      <c r="O68" s="41">
        <v>62572.12</v>
      </c>
      <c r="P68" s="30">
        <f t="shared" si="6"/>
        <v>-10188.294189104221</v>
      </c>
      <c r="Q68" s="58" t="s">
        <v>113</v>
      </c>
    </row>
    <row r="69" spans="1:17" ht="52.5" customHeight="1" thickBot="1">
      <c r="A69" s="25"/>
      <c r="B69" s="18" t="s">
        <v>39</v>
      </c>
      <c r="C69" s="47"/>
      <c r="D69" s="48">
        <f>SUM(D54:D68)</f>
        <v>7213.799999999999</v>
      </c>
      <c r="E69" s="40">
        <f>SUM(E54:E68)</f>
        <v>105188.59000000001</v>
      </c>
      <c r="F69" s="40">
        <f aca="true" t="shared" si="8" ref="F69:P69">SUM(F54:F68)</f>
        <v>0</v>
      </c>
      <c r="G69" s="40">
        <f>SUM(G54:G68)</f>
        <v>17219.68</v>
      </c>
      <c r="H69" s="40">
        <f t="shared" si="8"/>
        <v>132685.69</v>
      </c>
      <c r="I69" s="61">
        <f t="shared" si="8"/>
        <v>55386</v>
      </c>
      <c r="J69" s="40">
        <f t="shared" si="8"/>
        <v>26264.7468</v>
      </c>
      <c r="K69" s="31">
        <f t="shared" si="8"/>
        <v>419066.06000000006</v>
      </c>
      <c r="L69" s="40">
        <f t="shared" si="8"/>
        <v>228307.189488</v>
      </c>
      <c r="M69" s="40">
        <f>SUM(M54:M68)</f>
        <v>755810.7668000001</v>
      </c>
      <c r="N69" s="40">
        <f t="shared" si="8"/>
        <v>837989.7300000001</v>
      </c>
      <c r="O69" s="40">
        <f t="shared" si="8"/>
        <v>686091.41</v>
      </c>
      <c r="P69" s="31">
        <f t="shared" si="8"/>
        <v>-69719.35680000007</v>
      </c>
      <c r="Q69" s="35"/>
    </row>
    <row r="70" spans="1:18" ht="52.5" customHeight="1" thickBot="1">
      <c r="A70" s="15" t="s">
        <v>2</v>
      </c>
      <c r="B70" s="16" t="s">
        <v>85</v>
      </c>
      <c r="C70" s="49">
        <v>1966</v>
      </c>
      <c r="D70" s="50">
        <v>434.8</v>
      </c>
      <c r="E70" s="41">
        <v>0</v>
      </c>
      <c r="F70" s="41">
        <v>0</v>
      </c>
      <c r="G70" s="41">
        <v>5749.17</v>
      </c>
      <c r="H70" s="62">
        <v>0</v>
      </c>
      <c r="I70" s="62">
        <v>0</v>
      </c>
      <c r="J70" s="41">
        <f>(159.84+1566)*1.18</f>
        <v>2036.4911999999997</v>
      </c>
      <c r="K70" s="56">
        <f>K2/D73*D70+1868</f>
        <v>26338.37826372424</v>
      </c>
      <c r="L70" s="41">
        <f>K70*54.5%</f>
        <v>14354.416153729711</v>
      </c>
      <c r="M70" s="41">
        <f>SUM(E70:K70)</f>
        <v>34124.03946372424</v>
      </c>
      <c r="N70" s="41">
        <v>49248.84</v>
      </c>
      <c r="O70" s="41">
        <v>27698.13</v>
      </c>
      <c r="P70" s="30">
        <f>O70-M70</f>
        <v>-6425.9094637242415</v>
      </c>
      <c r="Q70" s="36" t="s">
        <v>141</v>
      </c>
      <c r="R70" s="37" t="s">
        <v>140</v>
      </c>
    </row>
    <row r="71" spans="1:17" ht="52.5" customHeight="1" thickBot="1">
      <c r="A71" s="15">
        <v>2</v>
      </c>
      <c r="B71" s="16" t="s">
        <v>86</v>
      </c>
      <c r="C71" s="49">
        <v>1956</v>
      </c>
      <c r="D71" s="49">
        <v>380.7</v>
      </c>
      <c r="E71" s="41">
        <v>0</v>
      </c>
      <c r="F71" s="41">
        <v>0</v>
      </c>
      <c r="G71" s="41">
        <v>3495.8</v>
      </c>
      <c r="H71" s="62">
        <v>0</v>
      </c>
      <c r="I71" s="62">
        <v>0</v>
      </c>
      <c r="J71" s="41">
        <f>(216+1044)*1.18</f>
        <v>1486.8</v>
      </c>
      <c r="K71" s="56">
        <f>K2/D73*D71+934</f>
        <v>22359.650885464165</v>
      </c>
      <c r="L71" s="41">
        <f>K71*54.5%</f>
        <v>12186.009732577972</v>
      </c>
      <c r="M71" s="41">
        <f>SUM(E71:K71)</f>
        <v>27342.250885464164</v>
      </c>
      <c r="N71" s="41">
        <v>27693.36</v>
      </c>
      <c r="O71" s="41">
        <v>23736.48</v>
      </c>
      <c r="P71" s="30">
        <f>O71-M71</f>
        <v>-3605.770885464164</v>
      </c>
      <c r="Q71" s="36" t="s">
        <v>142</v>
      </c>
    </row>
    <row r="72" spans="1:17" ht="52.5" customHeight="1">
      <c r="A72" s="15">
        <v>3</v>
      </c>
      <c r="B72" s="16" t="s">
        <v>87</v>
      </c>
      <c r="C72" s="49">
        <v>1962</v>
      </c>
      <c r="D72" s="49">
        <v>281.1</v>
      </c>
      <c r="E72" s="41">
        <v>0</v>
      </c>
      <c r="F72" s="41">
        <v>0</v>
      </c>
      <c r="G72" s="41">
        <v>1404.53</v>
      </c>
      <c r="H72" s="62">
        <v>0</v>
      </c>
      <c r="I72" s="62">
        <v>0</v>
      </c>
      <c r="J72" s="41">
        <f>(216+1044)*1.18</f>
        <v>1486.8</v>
      </c>
      <c r="K72" s="56">
        <f>K2/D73*D72+934</f>
        <v>16754.200850811605</v>
      </c>
      <c r="L72" s="41">
        <f>K72*54.5%</f>
        <v>9131.039463692325</v>
      </c>
      <c r="M72" s="41">
        <f>SUM(E72:K72)</f>
        <v>19645.530850811607</v>
      </c>
      <c r="N72" s="41">
        <v>22380.12</v>
      </c>
      <c r="O72" s="41">
        <v>18773.85</v>
      </c>
      <c r="P72" s="30">
        <f>O72-M72</f>
        <v>-871.6808508116083</v>
      </c>
      <c r="Q72" s="36" t="s">
        <v>139</v>
      </c>
    </row>
    <row r="73" spans="1:17" ht="52.5" customHeight="1">
      <c r="A73" s="25"/>
      <c r="B73" s="18" t="s">
        <v>39</v>
      </c>
      <c r="C73" s="47"/>
      <c r="D73" s="48">
        <f aca="true" t="shared" si="9" ref="D73:P73">SUM(D70:D72)</f>
        <v>1096.6</v>
      </c>
      <c r="E73" s="48">
        <f t="shared" si="9"/>
        <v>0</v>
      </c>
      <c r="F73" s="40">
        <f t="shared" si="9"/>
        <v>0</v>
      </c>
      <c r="G73" s="40">
        <f t="shared" si="9"/>
        <v>10649.500000000002</v>
      </c>
      <c r="H73" s="40">
        <f t="shared" si="9"/>
        <v>0</v>
      </c>
      <c r="I73" s="61">
        <f t="shared" si="9"/>
        <v>0</v>
      </c>
      <c r="J73" s="40">
        <f t="shared" si="9"/>
        <v>5010.0912</v>
      </c>
      <c r="K73" s="31">
        <f t="shared" si="9"/>
        <v>65452.23000000001</v>
      </c>
      <c r="L73" s="40">
        <f t="shared" si="9"/>
        <v>35671.465350000006</v>
      </c>
      <c r="M73" s="40">
        <f t="shared" si="9"/>
        <v>81111.8212</v>
      </c>
      <c r="N73" s="40">
        <f t="shared" si="9"/>
        <v>99322.31999999999</v>
      </c>
      <c r="O73" s="40">
        <f t="shared" si="9"/>
        <v>70208.45999999999</v>
      </c>
      <c r="P73" s="31">
        <f t="shared" si="9"/>
        <v>-10903.361200000014</v>
      </c>
      <c r="Q73" s="26"/>
    </row>
    <row r="74" spans="1:17" ht="44.25" customHeight="1" thickBot="1">
      <c r="A74" s="13">
        <v>61</v>
      </c>
      <c r="B74" s="14" t="s">
        <v>88</v>
      </c>
      <c r="C74" s="52"/>
      <c r="D74" s="42">
        <f>D73+D69+D53</f>
        <v>72779.94</v>
      </c>
      <c r="E74" s="42">
        <f aca="true" t="shared" si="10" ref="E74:P74">E73+E69+E53</f>
        <v>3946465.3799999994</v>
      </c>
      <c r="F74" s="42">
        <f t="shared" si="10"/>
        <v>2441800.9385488927</v>
      </c>
      <c r="G74" s="42">
        <f t="shared" si="10"/>
        <v>497111.16</v>
      </c>
      <c r="H74" s="42">
        <f t="shared" si="10"/>
        <v>654708.49</v>
      </c>
      <c r="I74" s="63">
        <f t="shared" si="10"/>
        <v>700760.3</v>
      </c>
      <c r="J74" s="42">
        <f t="shared" si="10"/>
        <v>31274.838</v>
      </c>
      <c r="K74" s="29">
        <f t="shared" si="10"/>
        <v>2359646.9699999997</v>
      </c>
      <c r="L74" s="42">
        <f t="shared" si="10"/>
        <v>1285548.7597019996</v>
      </c>
      <c r="M74" s="42">
        <f t="shared" si="10"/>
        <v>10631768.076548891</v>
      </c>
      <c r="N74" s="42">
        <f t="shared" si="10"/>
        <v>10663442.950000001</v>
      </c>
      <c r="O74" s="42">
        <f t="shared" si="10"/>
        <v>10120216.739999998</v>
      </c>
      <c r="P74" s="29">
        <f t="shared" si="10"/>
        <v>-511551.33654889127</v>
      </c>
      <c r="Q74" s="27"/>
    </row>
    <row r="75" spans="1:17" ht="52.5" customHeight="1">
      <c r="A75" s="78" t="s">
        <v>68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6" ht="52.5" customHeight="1">
      <c r="A76" s="2" t="s">
        <v>155</v>
      </c>
      <c r="B76" s="5"/>
      <c r="C76" s="4"/>
      <c r="D76" s="6"/>
      <c r="P76" s="28"/>
    </row>
    <row r="77" spans="1:4" ht="52.5" customHeight="1">
      <c r="A77" s="2" t="s">
        <v>100</v>
      </c>
      <c r="B77" s="5"/>
      <c r="C77" s="4"/>
      <c r="D77" s="6"/>
    </row>
    <row r="78" spans="1:4" ht="52.5" customHeight="1">
      <c r="A78" s="2" t="s">
        <v>152</v>
      </c>
      <c r="B78" s="5"/>
      <c r="C78" s="4"/>
      <c r="D78" s="6"/>
    </row>
    <row r="79" spans="1:4" ht="52.5" customHeight="1">
      <c r="A79" s="11"/>
      <c r="B79" s="5"/>
      <c r="C79" s="4"/>
      <c r="D79" s="6"/>
    </row>
    <row r="80" spans="1:4" ht="52.5" customHeight="1">
      <c r="A80" s="1"/>
      <c r="B80" s="8"/>
      <c r="C80" s="9"/>
      <c r="D80" s="10"/>
    </row>
    <row r="81" spans="2:4" ht="52.5" customHeight="1">
      <c r="B81" s="7"/>
      <c r="C81" s="7"/>
      <c r="D81" s="7"/>
    </row>
    <row r="82" spans="2:4" ht="52.5" customHeight="1">
      <c r="B82" s="7"/>
      <c r="C82" s="7"/>
      <c r="D82" s="7"/>
    </row>
  </sheetData>
  <sheetProtection/>
  <mergeCells count="20">
    <mergeCell ref="A5:P5"/>
    <mergeCell ref="Q5:Q8"/>
    <mergeCell ref="A7:A8"/>
    <mergeCell ref="H7:H8"/>
    <mergeCell ref="I7:I8"/>
    <mergeCell ref="J7:J8"/>
    <mergeCell ref="K7:L7"/>
    <mergeCell ref="M7:M8"/>
    <mergeCell ref="N7:N8"/>
    <mergeCell ref="B7:B8"/>
    <mergeCell ref="A75:Q75"/>
    <mergeCell ref="C7:C8"/>
    <mergeCell ref="D7:D8"/>
    <mergeCell ref="E6:P6"/>
    <mergeCell ref="A6:D6"/>
    <mergeCell ref="E7:E8"/>
    <mergeCell ref="F7:F8"/>
    <mergeCell ref="G7:G8"/>
    <mergeCell ref="O7:O8"/>
    <mergeCell ref="P7:P8"/>
  </mergeCells>
  <printOptions/>
  <pageMargins left="0.1968503937007874" right="0" top="0.15748031496062992" bottom="0.1968503937007874" header="0" footer="0"/>
  <pageSetup horizontalDpi="600" verticalDpi="600" orientation="landscape" paperSize="9" scale="59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2017-03-29T06:04:06Z</cp:lastPrinted>
  <dcterms:created xsi:type="dcterms:W3CDTF">2011-01-17T06:18:12Z</dcterms:created>
  <dcterms:modified xsi:type="dcterms:W3CDTF">2017-03-29T06:08:28Z</dcterms:modified>
  <cp:category/>
  <cp:version/>
  <cp:contentType/>
  <cp:contentStatus/>
</cp:coreProperties>
</file>