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440" windowHeight="8085" activeTab="0"/>
  </bookViews>
  <sheets>
    <sheet name="Sheet1" sheetId="1" r:id="rId1"/>
  </sheets>
  <definedNames>
    <definedName name="_xlnm.Print_Area" localSheetId="0">'Sheet1'!$A$1:$T$81</definedName>
  </definedNames>
  <calcPr fullCalcOnLoad="1"/>
</workbook>
</file>

<file path=xl/sharedStrings.xml><?xml version="1.0" encoding="utf-8"?>
<sst xmlns="http://schemas.openxmlformats.org/spreadsheetml/2006/main" count="164" uniqueCount="161">
  <si>
    <t>Наименование объекта, адрес расположения объекта</t>
  </si>
  <si>
    <t>Год ввода в эксплуатацию</t>
  </si>
  <si>
    <t>l</t>
  </si>
  <si>
    <t>16-ти квартирный жилой дом №6, ул.Гагарина</t>
  </si>
  <si>
    <t>12-ти квартирный жилой дом №14, ул.Каменка</t>
  </si>
  <si>
    <t>18-ти квартирный жилой дом №1а, ул.Коммунистическая</t>
  </si>
  <si>
    <t>100- квартирный жилой дом №18, ул. Красноармейская</t>
  </si>
  <si>
    <t>18-ти квартирный жилой дом №35, ул. Ленина</t>
  </si>
  <si>
    <t>22-ти квартирный жилой дом №8, ул.Гагарина</t>
  </si>
  <si>
    <t>12-ти квартирный жилой дом №10, ул.Каменка</t>
  </si>
  <si>
    <t>80-ти квартирный жилой дом №13, ул.Каменка</t>
  </si>
  <si>
    <t>80-ти квартирный жилой дом №15, ул. Каменка</t>
  </si>
  <si>
    <t>18-ти квартирный жилой дом №1б, ул.Коммунистическая</t>
  </si>
  <si>
    <t>16-ти квартирный жилой дом №43, ул. Ленина</t>
  </si>
  <si>
    <t>16-ти квартирный жилой дом №45, ул. Ленина</t>
  </si>
  <si>
    <t>16-ти квартирный жилой дом №47, ул.Ленина</t>
  </si>
  <si>
    <t>18-ти квартирный жилой дом №50 ул. Ленина</t>
  </si>
  <si>
    <t xml:space="preserve">18-ти квартирный жилой дом №52, ул.Ленина </t>
  </si>
  <si>
    <t>90-о квартирный жилой дом №53, ул.Ленина</t>
  </si>
  <si>
    <t>18-ти квартирный жилой дом № 54, ул.Ленина</t>
  </si>
  <si>
    <t>60-ти квартирный жилой дом №55, ул.Ленина</t>
  </si>
  <si>
    <t>18-ти квартирный жилой дом №56, ул.Ленина</t>
  </si>
  <si>
    <t>58-ти квартирный жилой дом №57, ул.Ленина</t>
  </si>
  <si>
    <t>18-ти квартирный жилой дом №60, ул.Ленина</t>
  </si>
  <si>
    <t>18-ти квартирный жилой дом №62, ул.Ленина</t>
  </si>
  <si>
    <t>18-ти квартирный жилой дом № 64, ул.Ленина</t>
  </si>
  <si>
    <t>8-ми- квартирный жилой дом №3, ул.Октябрьская</t>
  </si>
  <si>
    <t>11-ти квартирный жилой дом №16, ул.Октябрьская</t>
  </si>
  <si>
    <t>12-ти квартирный жилой дом №2, пер. Предбазарный</t>
  </si>
  <si>
    <t>16-ти квартирный жилой дом №24, ул.Советская</t>
  </si>
  <si>
    <t>8-ми квартирный жилой дом №1, ул.Социалистическая</t>
  </si>
  <si>
    <t>80-ти квартирный жилой дом №3, ул.Социалистическая</t>
  </si>
  <si>
    <t>18-ти квартирный жилой дом № 5А, ул.Социалистическая</t>
  </si>
  <si>
    <t>18-ти квартирный жилой дом № 7А, ул.Социалистическая</t>
  </si>
  <si>
    <t>18-ти квартирный жилой дом №9, ул.Социалистическая</t>
  </si>
  <si>
    <t>79-ти квартирный жилой дом №11, ул.Социалистическая</t>
  </si>
  <si>
    <t xml:space="preserve">80-ти квартирный жилой дом №4, ул.Школьная </t>
  </si>
  <si>
    <t>18-ти квартирный жилой дом № 6, ул.Школьная</t>
  </si>
  <si>
    <t>Итого по многоквартирным жилым домам:</t>
  </si>
  <si>
    <t xml:space="preserve">8-ми- квартирный жилой дом №2А, ул.Марьинская </t>
  </si>
  <si>
    <t>60-ти квартирный жилой дом №33, ул. Ленина</t>
  </si>
  <si>
    <t>4-х квартирный жилой дом №37, ул. Ленина</t>
  </si>
  <si>
    <t>51- квартирный жилой дом № 25, ул. Красноармейская</t>
  </si>
  <si>
    <t>33-х квартирный жилой дом № 63, ул.Ленина</t>
  </si>
  <si>
    <t>12-ти квартирный жилой дом N 68, ул.Ленина</t>
  </si>
  <si>
    <t>площадь  газа</t>
  </si>
  <si>
    <t>площадь убир двор</t>
  </si>
  <si>
    <t xml:space="preserve">Освещение мест общего пользования </t>
  </si>
  <si>
    <t>Текущий ремонт инженерного оборудования ***</t>
  </si>
  <si>
    <t>Текущий ремонт конструктивных элементов ****</t>
  </si>
  <si>
    <t>Выборочн. ремонт кровли 180 кв.м - 62860,76р.;          Кап.рем. кровли 525 кв.м - 428300,0р.</t>
  </si>
  <si>
    <t xml:space="preserve">Установка козырьков - 13400р.;                              </t>
  </si>
  <si>
    <t>Установка дверного блока и козырька - 25000р.</t>
  </si>
  <si>
    <t>Установка 2-х дверных блоков - 37387,20р.</t>
  </si>
  <si>
    <t>Установка козырьков - 29080р.;                                       Установка 4-х дверных  блоков - 32000р.;                                  Замена перил - 59500р.</t>
  </si>
  <si>
    <t>Содержание аварийно- диспетчерской службы *</t>
  </si>
  <si>
    <t>Затраты по санитарному содержанию   **</t>
  </si>
  <si>
    <t xml:space="preserve">Затраты по управлению домами </t>
  </si>
  <si>
    <t>Всего:</t>
  </si>
  <si>
    <t xml:space="preserve">в т.ч. зарплата и отчисления ИТР </t>
  </si>
  <si>
    <t xml:space="preserve">Начисленно платы  за сод. жилья </t>
  </si>
  <si>
    <t xml:space="preserve">Собрано платы  за сод. жилья </t>
  </si>
  <si>
    <t xml:space="preserve">Прибыль/ убыток  (+/-) </t>
  </si>
  <si>
    <t>Всего затрат:</t>
  </si>
  <si>
    <t>№ п/п</t>
  </si>
  <si>
    <t>*- зарплата работников аварийно-диспетчерской службы, обязательные отчисления ЕСН, контроль технического состояния, поддержание работоспособности и исправности, наладка, регулировка, подготовка к сезонной эксплуатации инженерного оборудования, устранение незначительных неполадок.</t>
  </si>
  <si>
    <t>Итого по многоквартирным жилым домам п. Кардымово:</t>
  </si>
  <si>
    <t>8-ми квартирный жилой дом № 3 , ул. Магистральная</t>
  </si>
  <si>
    <t>8-ми квартирный жилой дом № 2 , ул. Магистральная</t>
  </si>
  <si>
    <t>8-ми квартирный жилой дом № 4 , ул. Магистральная</t>
  </si>
  <si>
    <t>8-ми квартирный жилой дом № 9 , ул. Магистральная</t>
  </si>
  <si>
    <t>8-ми квартирный жилой дом № 10 , ул. Магистральная</t>
  </si>
  <si>
    <t>8-ми квартирный жилой дом № 4, ул. Садовая</t>
  </si>
  <si>
    <t>8-ми квартирный жилой дом № 1, ул. Садовая</t>
  </si>
  <si>
    <t>8-ми квартирный жилой дом № 5, ул. Садовая</t>
  </si>
  <si>
    <t>8-ми квартирный жилой дом № 1, ул. Школьная</t>
  </si>
  <si>
    <t>8-ми квартирный жилой дом № 3, ул. Школьная</t>
  </si>
  <si>
    <t>8-ми квартирный жилой дом № 16, ул. Центральная</t>
  </si>
  <si>
    <t>8-ми квартирный жилой дом № 14, ул. Центральная</t>
  </si>
  <si>
    <t>16-ти квартирный жилой дом № 6/2, ул. Магистральная</t>
  </si>
  <si>
    <t>18-ти квартирный жилой дом № 7, ул. Магистральная</t>
  </si>
  <si>
    <t>18-ти квартирный жилой дом № 8, ул. Магистральная</t>
  </si>
  <si>
    <t>Всего по МКД, находящимся в управлении:</t>
  </si>
  <si>
    <t>Кап. ремонт кровли 838 кв.м - 399522р.;                            Установка 3-х дверн.блоков - 62700р.</t>
  </si>
  <si>
    <t>Кап. ремонт кровли 806 кв.м - 302134р.;                                                                      Установка 2-х  дверных блоков - 37387,20р.</t>
  </si>
  <si>
    <t>Кап. ремонт кровли 806 кв.м - 427924р.;                                                 Установка 2-х дверных блоков - 37387,20р.</t>
  </si>
  <si>
    <t>Кап. ремонт кровли 610 кв.м - 326703р.;                                  Установка 2-х дверных блоков - 26240р.</t>
  </si>
  <si>
    <t>Кап. ремонт кровли 389 кв.м - 184650р.;                                                                   Установка дверного блока - 18693,60р.</t>
  </si>
  <si>
    <t>Кап. ремонт кровли 1326 кв.м - 554212р.;                                Установка 4-х дверных   блоков - 62800р.;                               Ремонт межпанельных стыков 158п/м - 50503р.;                                    Установка коллективной антенны - 39000р.</t>
  </si>
  <si>
    <t>Кап. ремонт кровли 830 кв.м - 372270р.;                       Установка 3-х дверных блоков - 39000р.</t>
  </si>
  <si>
    <t>Установка железной двери с доводчиком-10900руб. Кап. ремонт кровли 362м² - 227533руб.</t>
  </si>
  <si>
    <t>Установка 3х железных дверей - 45000 руб</t>
  </si>
  <si>
    <t>Установка 2х железных дверей с доводч.- 27400 р.</t>
  </si>
  <si>
    <r>
      <t>Установка 2х железных дверей с доводч.- 27400р. Кап. ремонт кровли 380м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- 194539р.</t>
    </r>
  </si>
  <si>
    <t>***- виды работ: прочистка канализации, ремонт сетей внутренних  водопроводов холодного, горячего водоснабжения и отопления ,ремонт и замена запорной арматуры, ремонт внутридомового электрооборудования и др.</t>
  </si>
  <si>
    <t>каменка</t>
  </si>
  <si>
    <t xml:space="preserve"> Установка дверных 4-х  блоков - 30000р.                                    Ремонт межпанельных швов 450 м.п.   - 361180р.                         </t>
  </si>
  <si>
    <t>Установка дверного блока - 33350р.                                            Ремонт кровли 350 кв.м - 258270 р.</t>
  </si>
  <si>
    <t>Установка дверных 4-х  блоков - 30000р.                         Ремонт межпанельных швов 450 м.п. - 361180р.</t>
  </si>
  <si>
    <t xml:space="preserve">Установка дверных 4-х  блоков - 30000р.;                                                             Выборочный ремонт кровли 143 кв.м - 36528р.                        Ремонт межпанельных швов 450 п/м -361181руб.             Ремонт кровли  342 кв.м. - 402280 р.                </t>
  </si>
  <si>
    <t>Выборочный ремонт кровли 288 кв.м - 77680р.;                                                       Установка 3-х дверных блоков - 43410р.                                             Ремонт кровли 1094кв.м.- 816080р.</t>
  </si>
  <si>
    <t>Выборочный ремонт кровли 30 кв.м - 30100р.;                               Выборочный ремонт кровли 59 кв.м - 38330р                                        Замена 2-х дверных блоков - 28891р.                                   Ремонт кровли 622 кв.м.- 485580р.</t>
  </si>
  <si>
    <t>Установка 4-х дверных блоков - 92600р.                               Ремонт кровли козырьков балконов 3,6кв.м. - 5180р.</t>
  </si>
  <si>
    <t>Ремонт кровли 750 кв.м - 352885р.                                 Установка 3-х дверных блоков - 49800р</t>
  </si>
  <si>
    <t>Установка  4-х дверных блоков - 82100р.;                                               Выборочный ремонт кровли 350 кв.м - 80225р.;                                Ремонт межпанельных стыков 56 п/м - 17900р.                     Кап.ремнт кровли 1360,0м.2. - 1169264руб.</t>
  </si>
  <si>
    <t>Установка железной двери-  15000руб.                                            Замена козырька-  7590руб.                                                     Кап. ремонт кровли 365м² - 186768р.</t>
  </si>
  <si>
    <t xml:space="preserve"> </t>
  </si>
  <si>
    <t>Установка железных дверей - 36500 р.                                   Кап. ремонт кровли - 381189 р.</t>
  </si>
  <si>
    <t>Кап. ремонт кровли 1321кв.м - 640643р.;                                      Установка 4-х дверных блоков - 58000р.                                              Ремонт кровли козырьков балконов 3,6кв.м. - 3570р.</t>
  </si>
  <si>
    <t>Кап. ремонт кровли 1321кв.м - 606284р.;                         Установка 4-х  дверных блоков - 60000р.                                Ремонт межпанельных швов 1740 м.п  -1460670р.                 Ремонт кровли козырьков балконов 2,6кв.м. - 3490р.</t>
  </si>
  <si>
    <t>Установка 3-х дверных блоков - 39360р.;                             Кап. ремонт кровли 809 кв.м - 398400р.                                                                         Доработка дверей 3шт -  29700р.</t>
  </si>
  <si>
    <t>Установка козырька и 2-х  дверных блоков -39300р.                                     Ремонт кровли 609 кв.м. - 591490р.                                   Доработка дверей  2шт.-19800р.</t>
  </si>
  <si>
    <r>
      <t>Кап. ремонт кровли 767кв.м</t>
    </r>
    <r>
      <rPr>
        <sz val="10"/>
        <rFont val="Calibri"/>
        <family val="2"/>
      </rPr>
      <t xml:space="preserve"> -</t>
    </r>
    <r>
      <rPr>
        <sz val="10"/>
        <rFont val="Arial"/>
        <family val="2"/>
      </rPr>
      <t xml:space="preserve"> 485900р.;                              Замена 3-х дверных блоков - 40150р.                                                        Доработка дверей 1шт.- 6000р.</t>
    </r>
  </si>
  <si>
    <t>Кап. ремонт кровли 721 кв.м - 311810,49р.;                                          Замена дверного блока - 11400р.;                               Установка окон 3шт. -27291р.</t>
  </si>
  <si>
    <t>Кап. ремонт кровли 750 кв.м - 321000р.;                                  Установка дверного блока - 17000р.                                     Установка окон 3шт. -27291р</t>
  </si>
  <si>
    <t>Кап. ремонт кровли 730 кв.м - 330000р.;                                                                   Установка дверного блока - 17000р.                                       Установка окон 3шт. -27291р</t>
  </si>
  <si>
    <t>Кап. ремонт кровли 740 кв.м - 543200р.                                                                   Установка окон 3шт. -27291р</t>
  </si>
  <si>
    <t>Капитальный ремонт отмостки - 85393р.                                   Кап.ремонт кровли740кв.м. - 688433руб.                                                             Установка окон 3шт. -27291р</t>
  </si>
  <si>
    <t>Выборочный ремонт кровли 150кв.м. -111567руб.                                                Установка окон 1шт. -9097р</t>
  </si>
  <si>
    <t>Установка козырьков - 28000р.;                                              Ремонт крылец 2шт- 40070р.                                      Установка дверных блоков 2шт - 40000р.</t>
  </si>
  <si>
    <t>Выборочный ремонт кровли 160 кв.м - 55876,24р.;                   Кап.рем. кровли 529 кв.м - 430500,0</t>
  </si>
  <si>
    <t>Кап. ремонт кровли 1629 кв.м - 640571р.;                      Установка  5-ти дверных блоков - 56000р.                                           Замена доводчиков 2шт.-2000р.</t>
  </si>
  <si>
    <t>Кап. ремонт кровли 820 кв.м - 331900р.                             Установка 3-х дверных блоков - 49800р.                                               Замена доводчиков 2шт.- 2000р.</t>
  </si>
  <si>
    <t>Установка 2х железных дверей с доводч.- 27400 р.                                                Ремонт кровли  351кв.м. - 244510р.</t>
  </si>
  <si>
    <t>Установка железной двери с доводчиком 10900руб.                                                       Ремонт кровли  345 кв.м. - 298050р.</t>
  </si>
  <si>
    <t>Замена внутридомового водопровода 35мп-19988р.                               Ремонт межпанельных швов 260 кв.м.-194615руб.                                                    Установка  дверных блоков  4шт. - 61600р.</t>
  </si>
  <si>
    <t>Замена внутридомового водопровода 33мп-19571р.                                        Ремонт межпанельных швов 260 кв.м.  - 194615р.                                     Установка  дверных блоков  4шт. - 49600р.</t>
  </si>
  <si>
    <r>
      <t>Кап. ремонт кровли 390м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- 237800р.                                                          Установка дверных блоков 2шт. - 43800р.                                        Установка окон 2шт. - 38850р.</t>
    </r>
  </si>
  <si>
    <r>
      <t>Установка 2х железных дверей - 30000 руб.                               Установка 2х железных козырьков  - 10000руб.                        Выборочный ремонт кровли  - 67673</t>
    </r>
    <r>
      <rPr>
        <sz val="11"/>
        <rFont val="Arial"/>
        <family val="2"/>
      </rPr>
      <t xml:space="preserve"> р.              </t>
    </r>
    <r>
      <rPr>
        <sz val="10"/>
        <rFont val="Arial"/>
        <family val="2"/>
      </rPr>
      <t xml:space="preserve">                                                   </t>
    </r>
  </si>
  <si>
    <t>Установка 3-х дверных блоков - 75900р.                                             Установка перил - 4500р.                                                     Ремонт межпанельных  швов 1305м.п. - 638823р.</t>
  </si>
  <si>
    <t>Установка дверного блока - 17000р.                                                        Установка окон 3шт. -27291р                                                         Ремонт отмостки 118 кв.м. -116115р.</t>
  </si>
  <si>
    <r>
      <t>Кап. ремонт кровли 342м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- 323142р.                                                                Ремонт межпанельных швов 377 м.п. - 301191р.</t>
    </r>
  </si>
  <si>
    <t xml:space="preserve">Кап. ремонт кровли 287 м² - 155791р.                                                                      Ремонт межпанельных швов 388м.п. - 310206р. </t>
  </si>
  <si>
    <t>Установка металл. дверного блока-9000руб.                              Замена  козырька - 7200руб.                              Восстановление вент. шахт - 73187 руб.</t>
  </si>
  <si>
    <t xml:space="preserve">  </t>
  </si>
  <si>
    <t>Установка 2х металл. дверных блоков-24000руб .                                        Замена 2х козырьков - 13400руб.                                                              Замена 2х окннных блоков - 13400 руб.                                       Замена перилл 5м -14700руб.                                            Кап. ремонт кровли 414 кв.м.- 392338 руб.</t>
  </si>
  <si>
    <t>Установка 2х металл. дверных блоков-29000руб.                                                                                                                             Замена 2х козырьков - 14400руб.                                           Замена 2х окннных блоков - 13400 руб.                                     Кап. ремонт кровли 442,75 кв.м.- 387100 руб.</t>
  </si>
  <si>
    <t>Замена дверного блока - 21300р.                                           Замена доводчиков 2шт.-2000р.                                                               Установка двери в кв. № 21- 6780р.</t>
  </si>
  <si>
    <t>СОДЕРЖАНИЕ И РЕМОНТ МЕСТ ОБЩЕГО ПОЛЬЗОВАНИЯ МНОГОКВАРТИРНЫХ ДОМОВ</t>
  </si>
  <si>
    <t>АРЖ</t>
  </si>
  <si>
    <t>з п дворников</t>
  </si>
  <si>
    <t>площадь санит обслуж м2</t>
  </si>
  <si>
    <t>кардымово управление</t>
  </si>
  <si>
    <t>****- виды работ: очистка кровель от снега и наледи, выборочный ремонт кровель,остекление окон,  прочистка вентиляционных и дымовых каналов, ремонт крылец, отмосток, козырьков ,кровли, межпанельных швов, ремонт подъездов и др.</t>
  </si>
  <si>
    <t>**- заработная плата уборщиков мест общего пользования, обязательные отчисления ЕСН,социальные выплаты, спецодежда, инвентарь, подвоз песка.</t>
  </si>
  <si>
    <r>
      <t>Общая площадь, м</t>
    </r>
    <r>
      <rPr>
        <vertAlign val="superscript"/>
        <sz val="11"/>
        <rFont val="Times New Roman"/>
        <family val="1"/>
      </rPr>
      <t>2</t>
    </r>
  </si>
  <si>
    <t>Установка 4-х дверных блоков - 95240р.                                Софинансирование  стоимости работ по капитальному ремонту - 553322руб.</t>
  </si>
  <si>
    <t>6-ти- квартирный жилой дом №27, ул. Красноармейская</t>
  </si>
  <si>
    <t>6-ти- квартирный жилой дом №29, ул. Красноармейская</t>
  </si>
  <si>
    <t xml:space="preserve">ОДН Березкинское </t>
  </si>
  <si>
    <t>12-ти квартирный жилой дом № 31 , ул. Льнозаводская, д.Пищулино</t>
  </si>
  <si>
    <t>18-ти квартирный жилой дом № 15 , ул. Школа-интернат, д.Пищулино</t>
  </si>
  <si>
    <t>18-ти квартирный жилой дом № 14 , ул. Школа-интернат, д.Пищулино</t>
  </si>
  <si>
    <t>Кардымово</t>
  </si>
  <si>
    <t>Сведения о выполненных работах по капитальному ремонту конструктивных элементов за период с 01.01.2008г. по 30.09.2014г.</t>
  </si>
  <si>
    <t>S ОДН по электр Кардымово</t>
  </si>
  <si>
    <t>з/п Каменское с\п по обслуживанию Голозов</t>
  </si>
  <si>
    <t>Диагностика ВДГО</t>
  </si>
  <si>
    <t>Техническое обслуживание фасадных и внутренних газопроводов</t>
  </si>
  <si>
    <t>ОТЧЕТ ПО МНОГОКВАРТИРНЫМ ДОМАМ ЗА 2020 Г.</t>
  </si>
  <si>
    <r>
      <t>Площадь, м</t>
    </r>
    <r>
      <rPr>
        <vertAlign val="superscript"/>
        <sz val="11"/>
        <rFont val="Times New Roman"/>
        <family val="1"/>
      </rPr>
      <t>2   по тех паспорту.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</si>
</sst>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5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22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2" fontId="8" fillId="33" borderId="10" xfId="0" applyNumberFormat="1" applyFont="1" applyFill="1" applyBorder="1" applyAlignment="1" applyProtection="1">
      <alignment horizontal="center" vertical="top"/>
      <protection/>
    </xf>
    <xf numFmtId="2" fontId="6" fillId="33" borderId="10" xfId="0" applyNumberFormat="1" applyFont="1" applyFill="1" applyBorder="1" applyAlignment="1" applyProtection="1">
      <alignment horizontal="center" vertical="top"/>
      <protection/>
    </xf>
    <xf numFmtId="0" fontId="1" fillId="33" borderId="11" xfId="0" applyNumberFormat="1" applyFont="1" applyFill="1" applyBorder="1" applyAlignment="1" applyProtection="1">
      <alignment horizontal="center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/>
      <protection/>
    </xf>
    <xf numFmtId="172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2" fontId="5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3" xfId="0" applyNumberFormat="1" applyFont="1" applyFill="1" applyBorder="1" applyAlignment="1" applyProtection="1">
      <alignment horizontal="center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1" fillId="33" borderId="14" xfId="0" applyNumberFormat="1" applyFont="1" applyFill="1" applyBorder="1" applyAlignment="1" applyProtection="1">
      <alignment horizontal="center" vertical="top"/>
      <protection/>
    </xf>
    <xf numFmtId="0" fontId="1" fillId="33" borderId="15" xfId="0" applyNumberFormat="1" applyFont="1" applyFill="1" applyBorder="1" applyAlignment="1" applyProtection="1">
      <alignment horizontal="center" vertical="top"/>
      <protection/>
    </xf>
    <xf numFmtId="172" fontId="1" fillId="33" borderId="15" xfId="0" applyNumberFormat="1" applyFont="1" applyFill="1" applyBorder="1" applyAlignment="1" applyProtection="1">
      <alignment horizontal="center" vertical="top"/>
      <protection/>
    </xf>
    <xf numFmtId="0" fontId="1" fillId="33" borderId="11" xfId="0" applyNumberFormat="1" applyFont="1" applyFill="1" applyBorder="1" applyAlignment="1" applyProtection="1">
      <alignment horizontal="center" vertical="top"/>
      <protection/>
    </xf>
    <xf numFmtId="172" fontId="0" fillId="33" borderId="12" xfId="0" applyNumberForma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172" fontId="1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5" fillId="33" borderId="10" xfId="0" applyNumberFormat="1" applyFont="1" applyFill="1" applyBorder="1" applyAlignment="1" applyProtection="1">
      <alignment horizontal="center" vertical="top"/>
      <protection/>
    </xf>
    <xf numFmtId="172" fontId="1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6" xfId="0" applyNumberFormat="1" applyFont="1" applyFill="1" applyBorder="1" applyAlignment="1" applyProtection="1">
      <alignment horizontal="center" vertical="top"/>
      <protection/>
    </xf>
    <xf numFmtId="0" fontId="4" fillId="33" borderId="17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4" fillId="33" borderId="11" xfId="0" applyNumberFormat="1" applyFont="1" applyFill="1" applyBorder="1" applyAlignment="1" applyProtection="1">
      <alignment horizontal="left" vertical="top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172" fontId="6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18" xfId="0" applyNumberFormat="1" applyFont="1" applyFill="1" applyBorder="1" applyAlignment="1" applyProtection="1">
      <alignment vertical="top"/>
      <protection/>
    </xf>
    <xf numFmtId="0" fontId="4" fillId="33" borderId="19" xfId="0" applyNumberFormat="1" applyFont="1" applyFill="1" applyBorder="1" applyAlignment="1" applyProtection="1">
      <alignment horizontal="left" vertical="top"/>
      <protection/>
    </xf>
    <xf numFmtId="0" fontId="6" fillId="33" borderId="20" xfId="0" applyNumberFormat="1" applyFont="1" applyFill="1" applyBorder="1" applyAlignment="1" applyProtection="1">
      <alignment horizontal="center" vertical="top"/>
      <protection/>
    </xf>
    <xf numFmtId="2" fontId="6" fillId="33" borderId="20" xfId="0" applyNumberFormat="1" applyFont="1" applyFill="1" applyBorder="1" applyAlignment="1" applyProtection="1">
      <alignment horizontal="center" vertical="top"/>
      <protection/>
    </xf>
    <xf numFmtId="0" fontId="0" fillId="33" borderId="21" xfId="0" applyNumberFormat="1" applyFont="1" applyFill="1" applyBorder="1" applyAlignment="1" applyProtection="1">
      <alignment vertical="top"/>
      <protection/>
    </xf>
    <xf numFmtId="0" fontId="52" fillId="34" borderId="0" xfId="0" applyNumberFormat="1" applyFont="1" applyFill="1" applyBorder="1" applyAlignment="1" applyProtection="1">
      <alignment vertical="top"/>
      <protection/>
    </xf>
    <xf numFmtId="0" fontId="52" fillId="33" borderId="0" xfId="0" applyNumberFormat="1" applyFont="1" applyFill="1" applyBorder="1" applyAlignment="1" applyProtection="1">
      <alignment vertical="top"/>
      <protection/>
    </xf>
    <xf numFmtId="0" fontId="53" fillId="33" borderId="0" xfId="0" applyNumberFormat="1" applyFont="1" applyFill="1" applyBorder="1" applyAlignment="1" applyProtection="1">
      <alignment vertical="top"/>
      <protection/>
    </xf>
    <xf numFmtId="0" fontId="52" fillId="33" borderId="0" xfId="0" applyNumberFormat="1" applyFont="1" applyFill="1" applyBorder="1" applyAlignment="1" applyProtection="1">
      <alignment vertical="top" wrapText="1"/>
      <protection/>
    </xf>
    <xf numFmtId="0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 indent="2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3" fillId="34" borderId="0" xfId="0" applyNumberFormat="1" applyFont="1" applyFill="1" applyBorder="1" applyAlignment="1" applyProtection="1">
      <alignment vertical="top"/>
      <protection/>
    </xf>
    <xf numFmtId="0" fontId="53" fillId="21" borderId="0" xfId="0" applyNumberFormat="1" applyFont="1" applyFill="1" applyBorder="1" applyAlignment="1" applyProtection="1">
      <alignment vertical="top"/>
      <protection/>
    </xf>
    <xf numFmtId="0" fontId="53" fillId="21" borderId="0" xfId="0" applyNumberFormat="1" applyFont="1" applyFill="1" applyBorder="1" applyAlignment="1" applyProtection="1">
      <alignment vertical="top" wrapText="1"/>
      <protection/>
    </xf>
    <xf numFmtId="2" fontId="1" fillId="33" borderId="23" xfId="0" applyNumberFormat="1" applyFont="1" applyFill="1" applyBorder="1" applyAlignment="1" applyProtection="1">
      <alignment horizontal="center" vertical="top"/>
      <protection/>
    </xf>
    <xf numFmtId="2" fontId="1" fillId="33" borderId="24" xfId="0" applyNumberFormat="1" applyFont="1" applyFill="1" applyBorder="1" applyAlignment="1" applyProtection="1">
      <alignment horizontal="center" vertical="top"/>
      <protection/>
    </xf>
    <xf numFmtId="0" fontId="4" fillId="33" borderId="25" xfId="0" applyNumberFormat="1" applyFont="1" applyFill="1" applyBorder="1" applyAlignment="1" applyProtection="1">
      <alignment horizontal="center" vertical="top"/>
      <protection/>
    </xf>
    <xf numFmtId="0" fontId="4" fillId="33" borderId="26" xfId="0" applyNumberFormat="1" applyFont="1" applyFill="1" applyBorder="1" applyAlignment="1" applyProtection="1">
      <alignment horizontal="center" vertical="top"/>
      <protection/>
    </xf>
    <xf numFmtId="2" fontId="6" fillId="33" borderId="24" xfId="0" applyNumberFormat="1" applyFont="1" applyFill="1" applyBorder="1" applyAlignment="1" applyProtection="1">
      <alignment horizontal="center" vertical="top"/>
      <protection/>
    </xf>
    <xf numFmtId="172" fontId="0" fillId="33" borderId="27" xfId="0" applyNumberFormat="1" applyFont="1" applyFill="1" applyBorder="1" applyAlignment="1" applyProtection="1">
      <alignment horizontal="left" vertical="center" wrapText="1"/>
      <protection/>
    </xf>
    <xf numFmtId="0" fontId="1" fillId="33" borderId="28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2" fontId="0" fillId="33" borderId="0" xfId="0" applyNumberFormat="1" applyFont="1" applyFill="1" applyBorder="1" applyAlignment="1" applyProtection="1">
      <alignment vertical="top"/>
      <protection/>
    </xf>
    <xf numFmtId="0" fontId="4" fillId="33" borderId="29" xfId="0" applyNumberFormat="1" applyFont="1" applyFill="1" applyBorder="1" applyAlignment="1" applyProtection="1">
      <alignment horizontal="center" vertical="top"/>
      <protection/>
    </xf>
    <xf numFmtId="0" fontId="4" fillId="33" borderId="30" xfId="0" applyNumberFormat="1" applyFont="1" applyFill="1" applyBorder="1" applyAlignment="1" applyProtection="1">
      <alignment horizontal="center" vertical="top"/>
      <protection/>
    </xf>
    <xf numFmtId="0" fontId="4" fillId="33" borderId="31" xfId="0" applyNumberFormat="1" applyFont="1" applyFill="1" applyBorder="1" applyAlignment="1" applyProtection="1">
      <alignment horizontal="center" vertical="top"/>
      <protection/>
    </xf>
    <xf numFmtId="0" fontId="4" fillId="33" borderId="32" xfId="0" applyNumberFormat="1" applyFont="1" applyFill="1" applyBorder="1" applyAlignment="1" applyProtection="1">
      <alignment horizontal="center" vertical="top"/>
      <protection/>
    </xf>
    <xf numFmtId="0" fontId="4" fillId="33" borderId="33" xfId="0" applyNumberFormat="1" applyFont="1" applyFill="1" applyBorder="1" applyAlignment="1" applyProtection="1">
      <alignment horizontal="center" vertical="top"/>
      <protection/>
    </xf>
    <xf numFmtId="2" fontId="1" fillId="33" borderId="15" xfId="0" applyNumberFormat="1" applyFont="1" applyFill="1" applyBorder="1" applyAlignment="1" applyProtection="1">
      <alignment horizontal="center" vertical="top"/>
      <protection/>
    </xf>
    <xf numFmtId="2" fontId="1" fillId="33" borderId="24" xfId="0" applyNumberFormat="1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center" vertical="top"/>
      <protection/>
    </xf>
    <xf numFmtId="2" fontId="1" fillId="33" borderId="23" xfId="0" applyNumberFormat="1" applyFont="1" applyFill="1" applyBorder="1" applyAlignment="1" applyProtection="1">
      <alignment horizontal="center" vertical="top"/>
      <protection/>
    </xf>
    <xf numFmtId="2" fontId="5" fillId="33" borderId="15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 wrapText="1"/>
      <protection/>
    </xf>
    <xf numFmtId="2" fontId="6" fillId="33" borderId="10" xfId="0" applyNumberFormat="1" applyFont="1" applyFill="1" applyBorder="1" applyAlignment="1" applyProtection="1">
      <alignment horizontal="center" vertical="top" wrapText="1"/>
      <protection/>
    </xf>
    <xf numFmtId="2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7" fillId="33" borderId="15" xfId="0" applyNumberFormat="1" applyFont="1" applyFill="1" applyBorder="1" applyAlignment="1" applyProtection="1">
      <alignment horizontal="left" vertical="top" wrapText="1"/>
      <protection/>
    </xf>
    <xf numFmtId="0" fontId="4" fillId="33" borderId="34" xfId="0" applyNumberFormat="1" applyFont="1" applyFill="1" applyBorder="1" applyAlignment="1" applyProtection="1">
      <alignment horizontal="center" vertical="center" wrapText="1"/>
      <protection/>
    </xf>
    <xf numFmtId="0" fontId="4" fillId="33" borderId="35" xfId="0" applyNumberFormat="1" applyFont="1" applyFill="1" applyBorder="1" applyAlignment="1" applyProtection="1">
      <alignment horizontal="center" vertical="center" wrapText="1"/>
      <protection/>
    </xf>
    <xf numFmtId="0" fontId="54" fillId="35" borderId="31" xfId="0" applyNumberFormat="1" applyFont="1" applyFill="1" applyBorder="1" applyAlignment="1" applyProtection="1">
      <alignment horizontal="center" vertical="top"/>
      <protection/>
    </xf>
    <xf numFmtId="0" fontId="54" fillId="35" borderId="36" xfId="0" applyNumberFormat="1" applyFont="1" applyFill="1" applyBorder="1" applyAlignment="1" applyProtection="1">
      <alignment horizontal="center" vertical="top"/>
      <protection/>
    </xf>
    <xf numFmtId="0" fontId="55" fillId="33" borderId="37" xfId="0" applyNumberFormat="1" applyFont="1" applyFill="1" applyBorder="1" applyAlignment="1" applyProtection="1">
      <alignment horizontal="center" vertical="top"/>
      <protection/>
    </xf>
    <xf numFmtId="0" fontId="55" fillId="33" borderId="38" xfId="0" applyNumberFormat="1" applyFont="1" applyFill="1" applyBorder="1" applyAlignment="1" applyProtection="1">
      <alignment horizontal="center" vertical="top"/>
      <protection/>
    </xf>
    <xf numFmtId="0" fontId="55" fillId="33" borderId="23" xfId="0" applyNumberFormat="1" applyFont="1" applyFill="1" applyBorder="1" applyAlignment="1" applyProtection="1">
      <alignment horizontal="center" vertical="top"/>
      <protection/>
    </xf>
    <xf numFmtId="0" fontId="1" fillId="33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3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40" xfId="0" applyNumberFormat="1" applyFont="1" applyFill="1" applyBorder="1" applyAlignment="1" applyProtection="1">
      <alignment horizontal="center" vertical="center" wrapText="1"/>
      <protection/>
    </xf>
    <xf numFmtId="0" fontId="1" fillId="33" borderId="41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55" fillId="33" borderId="24" xfId="0" applyNumberFormat="1" applyFont="1" applyFill="1" applyBorder="1" applyAlignment="1" applyProtection="1">
      <alignment horizontal="center" vertical="top"/>
      <protection/>
    </xf>
    <xf numFmtId="0" fontId="1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NumberFormat="1" applyFont="1" applyFill="1" applyBorder="1" applyAlignment="1" applyProtection="1">
      <alignment horizontal="center" vertical="center" wrapText="1"/>
      <protection/>
    </xf>
    <xf numFmtId="0" fontId="1" fillId="33" borderId="44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1" fillId="33" borderId="46" xfId="0" applyNumberFormat="1" applyFont="1" applyFill="1" applyBorder="1" applyAlignment="1" applyProtection="1">
      <alignment horizontal="center" vertical="center" wrapText="1"/>
      <protection/>
    </xf>
    <xf numFmtId="0" fontId="1" fillId="33" borderId="47" xfId="0" applyNumberFormat="1" applyFont="1" applyFill="1" applyBorder="1" applyAlignment="1" applyProtection="1">
      <alignment horizontal="center" vertical="center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SheetLayoutView="100" workbookViewId="0" topLeftCell="I23">
      <selection activeCell="Q26" sqref="Q26"/>
    </sheetView>
  </sheetViews>
  <sheetFormatPr defaultColWidth="9.28125" defaultRowHeight="51.75" customHeight="1"/>
  <cols>
    <col min="1" max="1" width="5.8515625" style="0" customWidth="1"/>
    <col min="2" max="2" width="58.140625" style="0" customWidth="1"/>
    <col min="3" max="4" width="9.28125" style="0" customWidth="1"/>
    <col min="5" max="5" width="11.57421875" style="0" hidden="1" customWidth="1"/>
    <col min="6" max="6" width="15.00390625" style="9" customWidth="1"/>
    <col min="7" max="7" width="15.421875" style="9" customWidth="1"/>
    <col min="8" max="8" width="13.8515625" style="9" customWidth="1"/>
    <col min="9" max="9" width="13.421875" style="9" customWidth="1"/>
    <col min="10" max="10" width="13.00390625" style="1" customWidth="1"/>
    <col min="11" max="11" width="14.421875" style="1" customWidth="1"/>
    <col min="12" max="12" width="11.57421875" style="1" customWidth="1"/>
    <col min="13" max="14" width="11.8515625" style="1" customWidth="1"/>
    <col min="15" max="15" width="14.00390625" style="1" customWidth="1"/>
    <col min="16" max="16" width="14.421875" style="76" customWidth="1"/>
    <col min="17" max="17" width="15.00390625" style="76" customWidth="1"/>
    <col min="18" max="18" width="23.28125" style="1" customWidth="1"/>
    <col min="19" max="19" width="33.140625" style="1" customWidth="1"/>
    <col min="20" max="20" width="23.28125" style="1" customWidth="1"/>
  </cols>
  <sheetData>
    <row r="1" spans="5:20" s="34" customFormat="1" ht="51.75" customHeight="1" hidden="1">
      <c r="E1" s="50"/>
      <c r="F1" s="9"/>
      <c r="G1" s="9"/>
      <c r="H1" s="9" t="s">
        <v>46</v>
      </c>
      <c r="I1" s="9"/>
      <c r="J1" s="9"/>
      <c r="K1" s="9" t="s">
        <v>45</v>
      </c>
      <c r="L1" s="35"/>
      <c r="M1" s="35"/>
      <c r="N1" s="35"/>
      <c r="O1" s="9"/>
      <c r="P1" s="9"/>
      <c r="Q1" s="35"/>
      <c r="R1" s="35"/>
      <c r="S1" s="35"/>
      <c r="T1" s="35"/>
    </row>
    <row r="2" spans="5:20" s="34" customFormat="1" ht="51.75" customHeight="1" hidden="1">
      <c r="E2" s="50"/>
      <c r="F2" s="9"/>
      <c r="G2" s="9"/>
      <c r="H2" s="9"/>
      <c r="I2" s="9"/>
      <c r="J2" s="9"/>
      <c r="K2" s="9" t="s">
        <v>153</v>
      </c>
      <c r="L2" s="35"/>
      <c r="M2" s="9">
        <v>83000</v>
      </c>
      <c r="N2" s="59"/>
      <c r="O2" s="9"/>
      <c r="P2" s="9"/>
      <c r="Q2" s="35"/>
      <c r="R2" s="35"/>
      <c r="S2" s="35"/>
      <c r="T2" s="35"/>
    </row>
    <row r="3" spans="5:20" s="34" customFormat="1" ht="51.75" customHeight="1" hidden="1">
      <c r="E3" s="51" t="s">
        <v>156</v>
      </c>
      <c r="F3" s="9"/>
      <c r="G3" s="9" t="s">
        <v>140</v>
      </c>
      <c r="H3" s="60" t="s">
        <v>141</v>
      </c>
      <c r="I3" s="61"/>
      <c r="J3" s="9"/>
      <c r="K3" s="9"/>
      <c r="L3" s="35"/>
      <c r="M3" s="9">
        <v>400000</v>
      </c>
      <c r="N3" s="9" t="s">
        <v>95</v>
      </c>
      <c r="O3" s="9"/>
      <c r="P3" s="9">
        <f>9114*1.302*12</f>
        <v>142397.136</v>
      </c>
      <c r="Q3" s="35"/>
      <c r="R3" s="35"/>
      <c r="S3" s="35"/>
      <c r="T3" s="35"/>
    </row>
    <row r="4" spans="5:20" s="34" customFormat="1" ht="32.25" customHeight="1" hidden="1">
      <c r="E4" s="50" t="s">
        <v>139</v>
      </c>
      <c r="F4" s="9">
        <f>4580105.43+1300000</f>
        <v>5880105.43</v>
      </c>
      <c r="G4" s="62">
        <f>3621870.34+638650.51</f>
        <v>4260520.85</v>
      </c>
      <c r="H4" s="9">
        <v>63940.5</v>
      </c>
      <c r="I4" s="59" t="s">
        <v>155</v>
      </c>
      <c r="J4" s="9"/>
      <c r="K4" s="9"/>
      <c r="L4" s="35"/>
      <c r="M4" s="9">
        <v>3066050</v>
      </c>
      <c r="N4" s="59" t="s">
        <v>142</v>
      </c>
      <c r="O4" s="9"/>
      <c r="P4" s="9"/>
      <c r="Q4" s="35"/>
      <c r="R4" s="35"/>
      <c r="S4" s="35"/>
      <c r="T4" s="35"/>
    </row>
    <row r="5" spans="5:20" s="34" customFormat="1" ht="32.25" customHeight="1" hidden="1">
      <c r="E5" s="50"/>
      <c r="F5" s="9">
        <f>SUM(F3:F4)</f>
        <v>5880105.43</v>
      </c>
      <c r="G5" s="9"/>
      <c r="H5" s="9"/>
      <c r="I5" s="9">
        <v>59835.06</v>
      </c>
      <c r="J5" s="9"/>
      <c r="K5" s="9"/>
      <c r="L5" s="35"/>
      <c r="M5" s="35"/>
      <c r="N5" s="37"/>
      <c r="O5" s="9"/>
      <c r="P5" s="9"/>
      <c r="Q5" s="35"/>
      <c r="R5" s="35"/>
      <c r="S5" s="35"/>
      <c r="T5" s="35"/>
    </row>
    <row r="6" spans="5:20" s="34" customFormat="1" ht="27.75" customHeight="1" hidden="1">
      <c r="E6" s="49"/>
      <c r="F6" s="9"/>
      <c r="G6" s="9"/>
      <c r="H6" s="35"/>
      <c r="I6" s="35"/>
      <c r="J6" s="35"/>
      <c r="K6" s="35"/>
      <c r="L6" s="35"/>
      <c r="M6" s="35">
        <f>SUM(M2:M5)</f>
        <v>3549050</v>
      </c>
      <c r="N6" s="37"/>
      <c r="O6" s="9"/>
      <c r="P6" s="9"/>
      <c r="Q6" s="35"/>
      <c r="R6" s="35"/>
      <c r="S6" s="35"/>
      <c r="T6" s="35"/>
    </row>
    <row r="7" spans="1:20" s="34" customFormat="1" ht="37.5" customHeight="1" hidden="1" thickBot="1">
      <c r="A7" s="35"/>
      <c r="B7" s="35"/>
      <c r="C7" s="35"/>
      <c r="D7" s="35"/>
      <c r="E7" s="36"/>
      <c r="F7" s="35"/>
      <c r="G7" s="35" t="s">
        <v>149</v>
      </c>
      <c r="H7" s="35">
        <f>17290.02+1428</f>
        <v>18718.02</v>
      </c>
      <c r="I7" s="35"/>
      <c r="J7" s="35"/>
      <c r="K7" s="35"/>
      <c r="L7" s="35"/>
      <c r="M7" s="35"/>
      <c r="N7" s="37"/>
      <c r="O7" s="35"/>
      <c r="P7" s="35"/>
      <c r="Q7" s="35"/>
      <c r="R7" s="35"/>
      <c r="S7" s="35"/>
      <c r="T7" s="35"/>
    </row>
    <row r="8" spans="1:19" ht="51.75" customHeight="1" thickBot="1">
      <c r="A8" s="80" t="s">
        <v>159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78" t="s">
        <v>154</v>
      </c>
    </row>
    <row r="9" spans="1:19" ht="51.75" customHeight="1">
      <c r="A9" s="82"/>
      <c r="B9" s="83"/>
      <c r="C9" s="83"/>
      <c r="D9" s="83"/>
      <c r="E9" s="84"/>
      <c r="F9" s="92" t="s">
        <v>138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82"/>
      <c r="S9" s="79"/>
    </row>
    <row r="10" spans="1:19" s="1" customFormat="1" ht="51.75" customHeight="1">
      <c r="A10" s="87" t="s">
        <v>64</v>
      </c>
      <c r="B10" s="87" t="s">
        <v>0</v>
      </c>
      <c r="C10" s="85" t="s">
        <v>1</v>
      </c>
      <c r="D10" s="85" t="s">
        <v>145</v>
      </c>
      <c r="E10" s="85" t="s">
        <v>160</v>
      </c>
      <c r="F10" s="93" t="s">
        <v>55</v>
      </c>
      <c r="G10" s="85" t="s">
        <v>56</v>
      </c>
      <c r="H10" s="85" t="s">
        <v>47</v>
      </c>
      <c r="I10" s="85" t="s">
        <v>48</v>
      </c>
      <c r="J10" s="85" t="s">
        <v>49</v>
      </c>
      <c r="K10" s="85" t="s">
        <v>158</v>
      </c>
      <c r="L10" s="85" t="s">
        <v>157</v>
      </c>
      <c r="M10" s="95" t="s">
        <v>57</v>
      </c>
      <c r="N10" s="96"/>
      <c r="O10" s="85" t="s">
        <v>63</v>
      </c>
      <c r="P10" s="99" t="s">
        <v>60</v>
      </c>
      <c r="Q10" s="85" t="s">
        <v>61</v>
      </c>
      <c r="R10" s="89" t="s">
        <v>62</v>
      </c>
      <c r="S10" s="79"/>
    </row>
    <row r="11" spans="1:19" s="1" customFormat="1" ht="63.75" customHeight="1" thickBot="1">
      <c r="A11" s="88"/>
      <c r="B11" s="88"/>
      <c r="C11" s="86"/>
      <c r="D11" s="86"/>
      <c r="E11" s="86"/>
      <c r="F11" s="94"/>
      <c r="G11" s="86"/>
      <c r="H11" s="86"/>
      <c r="I11" s="86"/>
      <c r="J11" s="91"/>
      <c r="K11" s="91"/>
      <c r="L11" s="91"/>
      <c r="M11" s="58" t="s">
        <v>58</v>
      </c>
      <c r="N11" s="58" t="s">
        <v>59</v>
      </c>
      <c r="O11" s="86"/>
      <c r="P11" s="100"/>
      <c r="Q11" s="86"/>
      <c r="R11" s="90"/>
      <c r="S11" s="79"/>
    </row>
    <row r="12" spans="1:19" s="25" customFormat="1" ht="54.75" customHeight="1" thickBot="1">
      <c r="A12" s="23">
        <v>1</v>
      </c>
      <c r="B12" s="24">
        <v>2</v>
      </c>
      <c r="C12" s="24">
        <v>3</v>
      </c>
      <c r="D12" s="24"/>
      <c r="E12" s="24">
        <v>4</v>
      </c>
      <c r="F12" s="63">
        <v>5</v>
      </c>
      <c r="G12" s="63">
        <v>6</v>
      </c>
      <c r="H12" s="63">
        <v>7</v>
      </c>
      <c r="I12" s="64">
        <v>8</v>
      </c>
      <c r="J12" s="65">
        <v>9</v>
      </c>
      <c r="K12" s="65">
        <v>10</v>
      </c>
      <c r="L12" s="66">
        <v>11</v>
      </c>
      <c r="M12" s="54">
        <v>12</v>
      </c>
      <c r="N12" s="55">
        <v>13</v>
      </c>
      <c r="O12" s="38">
        <v>14</v>
      </c>
      <c r="P12" s="67">
        <v>15</v>
      </c>
      <c r="Q12" s="64">
        <v>16</v>
      </c>
      <c r="R12" s="38">
        <v>17</v>
      </c>
      <c r="S12" s="38">
        <v>18</v>
      </c>
    </row>
    <row r="13" spans="1:19" s="18" customFormat="1" ht="51.75" customHeight="1" thickBot="1">
      <c r="A13" s="13" t="s">
        <v>2</v>
      </c>
      <c r="B13" s="77" t="s">
        <v>3</v>
      </c>
      <c r="C13" s="14">
        <v>1990</v>
      </c>
      <c r="D13" s="15">
        <v>731</v>
      </c>
      <c r="E13" s="15">
        <v>731</v>
      </c>
      <c r="F13" s="68">
        <f>F4/E77*E13</f>
        <v>59221.27420327274</v>
      </c>
      <c r="G13" s="68">
        <f>(G4/H4*E13)</f>
        <v>48708.42019299192</v>
      </c>
      <c r="H13" s="68">
        <v>-721.59</v>
      </c>
      <c r="I13" s="68">
        <f>1197+295</f>
        <v>1492</v>
      </c>
      <c r="J13" s="69">
        <f>104727.06</f>
        <v>104727.06</v>
      </c>
      <c r="K13" s="70">
        <v>2460.86</v>
      </c>
      <c r="L13" s="71">
        <v>5760</v>
      </c>
      <c r="M13" s="52">
        <f>M4/E56*E13</f>
        <v>34691.07092276521</v>
      </c>
      <c r="N13" s="53">
        <f>M13*54.48%</f>
        <v>18899.695438722487</v>
      </c>
      <c r="O13" s="53">
        <f>SUM(F13:M13)</f>
        <v>256339.09531902985</v>
      </c>
      <c r="P13" s="72">
        <v>153769.02</v>
      </c>
      <c r="Q13" s="72">
        <v>126273.72</v>
      </c>
      <c r="R13" s="56">
        <f aca="true" t="shared" si="0" ref="R13:R55">Q13-O13</f>
        <v>-130065.37531902984</v>
      </c>
      <c r="S13" s="57" t="s">
        <v>111</v>
      </c>
    </row>
    <row r="14" spans="1:19" s="18" customFormat="1" ht="51.75" customHeight="1" thickBot="1">
      <c r="A14" s="16">
        <v>2</v>
      </c>
      <c r="B14" s="77" t="s">
        <v>8</v>
      </c>
      <c r="C14" s="12">
        <v>1978</v>
      </c>
      <c r="D14" s="12">
        <v>868.6</v>
      </c>
      <c r="E14" s="12">
        <v>868.6</v>
      </c>
      <c r="F14" s="6">
        <f>F4/E77*E14</f>
        <v>70368.80817094761</v>
      </c>
      <c r="G14" s="6">
        <f>(G4/H4*E14)</f>
        <v>57877.063994025695</v>
      </c>
      <c r="H14" s="6">
        <v>25487.4</v>
      </c>
      <c r="I14" s="6">
        <v>170</v>
      </c>
      <c r="J14" s="73">
        <v>0</v>
      </c>
      <c r="K14" s="70">
        <v>3292.53</v>
      </c>
      <c r="L14" s="71">
        <v>0</v>
      </c>
      <c r="M14" s="11">
        <f>M4/E56*E14</f>
        <v>41221.15486116807</v>
      </c>
      <c r="N14" s="7">
        <f aca="true" t="shared" si="1" ref="N14:N55">M14*54.48%</f>
        <v>22457.285168364364</v>
      </c>
      <c r="O14" s="7">
        <f>SUM(F14:M14)</f>
        <v>198416.95702614138</v>
      </c>
      <c r="P14" s="10">
        <v>166599.87</v>
      </c>
      <c r="Q14" s="10">
        <v>149585.9</v>
      </c>
      <c r="R14" s="3">
        <f t="shared" si="0"/>
        <v>-48831.05702614138</v>
      </c>
      <c r="S14" s="8" t="s">
        <v>112</v>
      </c>
    </row>
    <row r="15" spans="1:19" s="18" customFormat="1" ht="51.75" customHeight="1" thickBot="1">
      <c r="A15" s="16">
        <v>3</v>
      </c>
      <c r="B15" s="77" t="s">
        <v>9</v>
      </c>
      <c r="C15" s="12">
        <v>1988</v>
      </c>
      <c r="D15" s="12">
        <v>732.3</v>
      </c>
      <c r="E15" s="12">
        <v>732.3</v>
      </c>
      <c r="F15" s="6">
        <f>F4/E77*E15</f>
        <v>59326.59247476967</v>
      </c>
      <c r="G15" s="6">
        <f>(G4/H4*E15)</f>
        <v>48795.042554484244</v>
      </c>
      <c r="H15" s="6">
        <v>6175.74</v>
      </c>
      <c r="I15" s="6">
        <v>2676</v>
      </c>
      <c r="J15" s="73">
        <f>57006.11</f>
        <v>57006.11</v>
      </c>
      <c r="K15" s="70">
        <v>1628.81</v>
      </c>
      <c r="L15" s="71">
        <v>0</v>
      </c>
      <c r="M15" s="11">
        <f>M4/E56*E15</f>
        <v>34752.76502974139</v>
      </c>
      <c r="N15" s="7">
        <f t="shared" si="1"/>
        <v>18933.30638820311</v>
      </c>
      <c r="O15" s="7">
        <f aca="true" t="shared" si="2" ref="O15:O71">SUM(F15:M15)</f>
        <v>210361.06005899532</v>
      </c>
      <c r="P15" s="10">
        <v>155607.18</v>
      </c>
      <c r="Q15" s="10">
        <v>149379.88</v>
      </c>
      <c r="R15" s="3">
        <f t="shared" si="0"/>
        <v>-60981.18005899532</v>
      </c>
      <c r="S15" s="8" t="s">
        <v>99</v>
      </c>
    </row>
    <row r="16" spans="1:19" s="18" customFormat="1" ht="51.75" customHeight="1" thickBot="1">
      <c r="A16" s="16">
        <v>4</v>
      </c>
      <c r="B16" s="77" t="s">
        <v>4</v>
      </c>
      <c r="C16" s="12">
        <v>1991</v>
      </c>
      <c r="D16" s="12">
        <v>719.2</v>
      </c>
      <c r="E16" s="12">
        <v>719.2</v>
      </c>
      <c r="F16" s="6">
        <f>F4/E77*E16</f>
        <v>58265.30835430063</v>
      </c>
      <c r="G16" s="6">
        <f>(G4/H4*E16)</f>
        <v>47922.155680984666</v>
      </c>
      <c r="H16" s="6">
        <v>2887.66</v>
      </c>
      <c r="I16" s="6">
        <v>0</v>
      </c>
      <c r="J16" s="73">
        <v>0</v>
      </c>
      <c r="K16" s="70">
        <v>1653.45</v>
      </c>
      <c r="L16" s="71">
        <v>0</v>
      </c>
      <c r="M16" s="11">
        <f>M4/E56*E16</f>
        <v>34131.078259442875</v>
      </c>
      <c r="N16" s="7">
        <f t="shared" si="1"/>
        <v>18594.611435744475</v>
      </c>
      <c r="O16" s="7">
        <f t="shared" si="2"/>
        <v>144859.65229472815</v>
      </c>
      <c r="P16" s="10">
        <v>153160.14</v>
      </c>
      <c r="Q16" s="10">
        <v>161511.17</v>
      </c>
      <c r="R16" s="3">
        <f t="shared" si="0"/>
        <v>16651.517705271865</v>
      </c>
      <c r="S16" s="17" t="s">
        <v>98</v>
      </c>
    </row>
    <row r="17" spans="1:19" s="18" customFormat="1" ht="51.75" customHeight="1" thickBot="1">
      <c r="A17" s="16">
        <v>5</v>
      </c>
      <c r="B17" s="77" t="s">
        <v>28</v>
      </c>
      <c r="C17" s="12">
        <v>1991</v>
      </c>
      <c r="D17" s="12">
        <v>721.5</v>
      </c>
      <c r="E17" s="12">
        <v>721.5</v>
      </c>
      <c r="F17" s="6">
        <f>F4/E77*E17</f>
        <v>58451.64068079519</v>
      </c>
      <c r="G17" s="6">
        <f>(G4/H4*E17)</f>
        <v>48075.410628240315</v>
      </c>
      <c r="H17" s="6">
        <v>6631.23</v>
      </c>
      <c r="I17" s="6">
        <f>12809+325</f>
        <v>13134</v>
      </c>
      <c r="J17" s="73">
        <v>0</v>
      </c>
      <c r="K17" s="70">
        <v>1628.82</v>
      </c>
      <c r="L17" s="71">
        <v>0</v>
      </c>
      <c r="M17" s="11">
        <f>M4/E56*E17</f>
        <v>34240.22937178536</v>
      </c>
      <c r="N17" s="7">
        <f t="shared" si="1"/>
        <v>18654.076961748662</v>
      </c>
      <c r="O17" s="7">
        <f t="shared" si="2"/>
        <v>162161.33068082086</v>
      </c>
      <c r="P17" s="10">
        <v>153607.08</v>
      </c>
      <c r="Q17" s="10">
        <v>158305.72</v>
      </c>
      <c r="R17" s="3">
        <f t="shared" si="0"/>
        <v>-3855.610680820857</v>
      </c>
      <c r="S17" s="17" t="s">
        <v>96</v>
      </c>
    </row>
    <row r="18" spans="1:19" s="18" customFormat="1" ht="52.5" customHeight="1" thickBot="1">
      <c r="A18" s="16">
        <v>6</v>
      </c>
      <c r="B18" s="77" t="s">
        <v>10</v>
      </c>
      <c r="C18" s="12">
        <v>1989</v>
      </c>
      <c r="D18" s="12">
        <v>4255.9</v>
      </c>
      <c r="E18" s="12">
        <v>4255.9</v>
      </c>
      <c r="F18" s="6">
        <f>F4/E77*E18</f>
        <v>344787.71666444384</v>
      </c>
      <c r="G18" s="6">
        <f>(G4/H4*E18)</f>
        <v>283581.6217501427</v>
      </c>
      <c r="H18" s="6">
        <v>37136.55</v>
      </c>
      <c r="I18" s="6">
        <f>6414.05+933</f>
        <v>7347.05</v>
      </c>
      <c r="J18" s="73">
        <f>4501.38</f>
        <v>4501.38</v>
      </c>
      <c r="K18" s="70">
        <v>9741.77</v>
      </c>
      <c r="L18" s="71">
        <v>28800</v>
      </c>
      <c r="M18" s="11">
        <f>M4/E56*E18</f>
        <v>201972.26913843563</v>
      </c>
      <c r="N18" s="7">
        <f t="shared" si="1"/>
        <v>110034.49222661972</v>
      </c>
      <c r="O18" s="7">
        <f t="shared" si="2"/>
        <v>917868.3575530223</v>
      </c>
      <c r="P18" s="10">
        <v>912456</v>
      </c>
      <c r="Q18" s="10">
        <v>877509.34</v>
      </c>
      <c r="R18" s="3">
        <f t="shared" si="0"/>
        <v>-40359.017553022364</v>
      </c>
      <c r="S18" s="8" t="s">
        <v>109</v>
      </c>
    </row>
    <row r="19" spans="1:19" s="18" customFormat="1" ht="51.75" customHeight="1" thickBot="1">
      <c r="A19" s="16">
        <v>7</v>
      </c>
      <c r="B19" s="77" t="s">
        <v>11</v>
      </c>
      <c r="C19" s="12">
        <v>1988</v>
      </c>
      <c r="D19" s="12">
        <v>4245.1</v>
      </c>
      <c r="E19" s="12">
        <v>4245.1</v>
      </c>
      <c r="F19" s="6">
        <f>F4/E77*E19</f>
        <v>343912.7648704694</v>
      </c>
      <c r="G19" s="6">
        <f>(G4/H4*E19)</f>
        <v>282861.9898238988</v>
      </c>
      <c r="H19" s="6">
        <v>25260.25</v>
      </c>
      <c r="I19" s="6">
        <f>7884.05+627</f>
        <v>8511.05</v>
      </c>
      <c r="J19" s="73">
        <f>5124.16</f>
        <v>5124.16</v>
      </c>
      <c r="K19" s="70">
        <v>9741.77</v>
      </c>
      <c r="L19" s="71">
        <v>0</v>
      </c>
      <c r="M19" s="11">
        <f>M4/E56*E19</f>
        <v>201459.73348047963</v>
      </c>
      <c r="N19" s="7">
        <f t="shared" si="1"/>
        <v>109755.26280016529</v>
      </c>
      <c r="O19" s="7">
        <f t="shared" si="2"/>
        <v>876871.718174848</v>
      </c>
      <c r="P19" s="10">
        <v>907098</v>
      </c>
      <c r="Q19" s="10">
        <v>868514.58</v>
      </c>
      <c r="R19" s="3">
        <f t="shared" si="0"/>
        <v>-8357.138174848049</v>
      </c>
      <c r="S19" s="8" t="s">
        <v>108</v>
      </c>
    </row>
    <row r="20" spans="1:19" s="18" customFormat="1" ht="51.75" customHeight="1" thickBot="1">
      <c r="A20" s="16">
        <v>8</v>
      </c>
      <c r="B20" s="77" t="s">
        <v>5</v>
      </c>
      <c r="C20" s="12">
        <v>1978</v>
      </c>
      <c r="D20" s="12">
        <v>772.1</v>
      </c>
      <c r="E20" s="12">
        <v>772.1</v>
      </c>
      <c r="F20" s="6">
        <f>F4/E77*E20</f>
        <v>62550.95186367563</v>
      </c>
      <c r="G20" s="6">
        <f>(G4/H4*E20)</f>
        <v>51447.01946786466</v>
      </c>
      <c r="H20" s="6">
        <v>7048.73</v>
      </c>
      <c r="I20" s="6">
        <v>0</v>
      </c>
      <c r="J20" s="73">
        <v>0</v>
      </c>
      <c r="K20" s="70">
        <v>2396.41</v>
      </c>
      <c r="L20" s="71">
        <v>0</v>
      </c>
      <c r="M20" s="11">
        <f>M4/E56*E20</f>
        <v>36641.55384332014</v>
      </c>
      <c r="N20" s="7">
        <f t="shared" si="1"/>
        <v>19962.318533840808</v>
      </c>
      <c r="O20" s="7">
        <f t="shared" si="2"/>
        <v>160084.66517486042</v>
      </c>
      <c r="P20" s="10">
        <v>148783.8</v>
      </c>
      <c r="Q20" s="10">
        <v>141904.15</v>
      </c>
      <c r="R20" s="3">
        <f t="shared" si="0"/>
        <v>-18180.515174860426</v>
      </c>
      <c r="S20" s="17" t="s">
        <v>50</v>
      </c>
    </row>
    <row r="21" spans="1:19" s="18" customFormat="1" ht="51.75" customHeight="1" thickBot="1">
      <c r="A21" s="16">
        <v>9</v>
      </c>
      <c r="B21" s="77" t="s">
        <v>12</v>
      </c>
      <c r="C21" s="12">
        <v>1979</v>
      </c>
      <c r="D21" s="12">
        <v>779.4</v>
      </c>
      <c r="E21" s="12">
        <v>779.4</v>
      </c>
      <c r="F21" s="6">
        <f>F4/E77*E21</f>
        <v>63142.35446515838</v>
      </c>
      <c r="G21" s="6">
        <f>(G4/H4*E21)</f>
        <v>51933.43734393694</v>
      </c>
      <c r="H21" s="6">
        <v>8144.06</v>
      </c>
      <c r="I21" s="6">
        <f>40651+1588</f>
        <v>42239</v>
      </c>
      <c r="J21" s="73">
        <v>0</v>
      </c>
      <c r="K21" s="70">
        <v>2396.41</v>
      </c>
      <c r="L21" s="71">
        <v>0</v>
      </c>
      <c r="M21" s="11">
        <f>M4/E56*E21</f>
        <v>36987.989982494124</v>
      </c>
      <c r="N21" s="7">
        <f t="shared" si="1"/>
        <v>20151.056942462797</v>
      </c>
      <c r="O21" s="7">
        <f t="shared" si="2"/>
        <v>204843.25179158943</v>
      </c>
      <c r="P21" s="10">
        <v>149378.64</v>
      </c>
      <c r="Q21" s="10">
        <v>128540.45</v>
      </c>
      <c r="R21" s="3">
        <f t="shared" si="0"/>
        <v>-76302.80179158943</v>
      </c>
      <c r="S21" s="8" t="s">
        <v>120</v>
      </c>
    </row>
    <row r="22" spans="1:19" s="18" customFormat="1" ht="51.75" customHeight="1" thickBot="1">
      <c r="A22" s="16">
        <v>10</v>
      </c>
      <c r="B22" s="77" t="s">
        <v>6</v>
      </c>
      <c r="C22" s="12">
        <v>1991</v>
      </c>
      <c r="D22" s="12">
        <v>5272.8</v>
      </c>
      <c r="E22" s="12">
        <v>5272.8</v>
      </c>
      <c r="F22" s="6">
        <f>F4/E77*E22</f>
        <v>427170.9091915411</v>
      </c>
      <c r="G22" s="6">
        <f>(G4/H4*E22)</f>
        <v>351340.2982128698</v>
      </c>
      <c r="H22" s="6">
        <v>107847.98</v>
      </c>
      <c r="I22" s="6">
        <f>8730+2613.5</f>
        <v>11343.5</v>
      </c>
      <c r="J22" s="73">
        <f>7947.04</f>
        <v>7947.04</v>
      </c>
      <c r="K22" s="70">
        <v>10209.92</v>
      </c>
      <c r="L22" s="71">
        <v>0</v>
      </c>
      <c r="M22" s="11">
        <f>M4/E56*E22</f>
        <v>250231.297895426</v>
      </c>
      <c r="N22" s="7">
        <f t="shared" si="1"/>
        <v>136326.01109342807</v>
      </c>
      <c r="O22" s="7">
        <f t="shared" si="2"/>
        <v>1166090.945299837</v>
      </c>
      <c r="P22" s="10">
        <v>1130928.48</v>
      </c>
      <c r="Q22" s="10">
        <v>1121649.91</v>
      </c>
      <c r="R22" s="3">
        <f t="shared" si="0"/>
        <v>-44441.03529983712</v>
      </c>
      <c r="S22" s="8" t="s">
        <v>121</v>
      </c>
    </row>
    <row r="23" spans="1:19" s="18" customFormat="1" ht="51.75" customHeight="1" thickBot="1">
      <c r="A23" s="16">
        <v>11</v>
      </c>
      <c r="B23" s="77" t="s">
        <v>42</v>
      </c>
      <c r="C23" s="12">
        <v>1984</v>
      </c>
      <c r="D23" s="12">
        <v>3575.2</v>
      </c>
      <c r="E23" s="12">
        <v>3575.2</v>
      </c>
      <c r="F23" s="6">
        <f>F4/E77*E23</f>
        <v>289641.44942755223</v>
      </c>
      <c r="G23" s="6">
        <f>(G4/H4*E23)</f>
        <v>238224.82062104612</v>
      </c>
      <c r="H23" s="6">
        <v>46700.23</v>
      </c>
      <c r="I23" s="6">
        <f>8059+113</f>
        <v>8172</v>
      </c>
      <c r="J23" s="73">
        <v>0</v>
      </c>
      <c r="K23" s="70">
        <v>0</v>
      </c>
      <c r="L23" s="71">
        <v>0</v>
      </c>
      <c r="M23" s="11">
        <f>M4/E56*E23</f>
        <v>169668.2855855953</v>
      </c>
      <c r="N23" s="7">
        <f t="shared" si="1"/>
        <v>92435.28198703231</v>
      </c>
      <c r="O23" s="7">
        <f t="shared" si="2"/>
        <v>752406.7856341936</v>
      </c>
      <c r="P23" s="10">
        <v>787902.48</v>
      </c>
      <c r="Q23" s="10">
        <v>700591.85</v>
      </c>
      <c r="R23" s="3">
        <f t="shared" si="0"/>
        <v>-51814.93563419359</v>
      </c>
      <c r="S23" s="8" t="s">
        <v>137</v>
      </c>
    </row>
    <row r="24" spans="1:19" s="18" customFormat="1" ht="51.75" customHeight="1" thickBot="1">
      <c r="A24" s="16">
        <v>12</v>
      </c>
      <c r="B24" s="77" t="s">
        <v>147</v>
      </c>
      <c r="C24" s="12">
        <v>1978</v>
      </c>
      <c r="D24" s="12">
        <v>271.7</v>
      </c>
      <c r="E24" s="12">
        <v>271.7</v>
      </c>
      <c r="F24" s="6">
        <f>F4/E77*E24</f>
        <v>22011.518742858007</v>
      </c>
      <c r="G24" s="6">
        <f>(G4/H4*E24)</f>
        <v>18104.073551895905</v>
      </c>
      <c r="H24" s="70">
        <v>2686.97</v>
      </c>
      <c r="I24" s="6">
        <f>4298+268</f>
        <v>4566</v>
      </c>
      <c r="J24" s="73">
        <v>0</v>
      </c>
      <c r="K24" s="70">
        <v>1250.14</v>
      </c>
      <c r="L24" s="71">
        <v>0</v>
      </c>
      <c r="M24" s="11">
        <f>M4/E56*E24</f>
        <v>12894.068358023675</v>
      </c>
      <c r="N24" s="7">
        <f t="shared" si="1"/>
        <v>7024.688441451297</v>
      </c>
      <c r="O24" s="7">
        <f t="shared" si="2"/>
        <v>61512.77065277758</v>
      </c>
      <c r="P24" s="10">
        <v>56346.48</v>
      </c>
      <c r="Q24" s="10">
        <v>49850.19</v>
      </c>
      <c r="R24" s="3">
        <f t="shared" si="0"/>
        <v>-11662.580652777579</v>
      </c>
      <c r="S24" s="17" t="s">
        <v>52</v>
      </c>
    </row>
    <row r="25" spans="1:19" s="18" customFormat="1" ht="51.75" customHeight="1" thickBot="1">
      <c r="A25" s="16">
        <v>13</v>
      </c>
      <c r="B25" s="77" t="s">
        <v>148</v>
      </c>
      <c r="C25" s="12">
        <v>1977</v>
      </c>
      <c r="D25" s="19">
        <v>271</v>
      </c>
      <c r="E25" s="19">
        <v>271</v>
      </c>
      <c r="F25" s="6">
        <f>F4/E77*E25</f>
        <v>21954.808904359663</v>
      </c>
      <c r="G25" s="6">
        <f>(G4/H4*E25)</f>
        <v>18057.430741861575</v>
      </c>
      <c r="H25" s="6">
        <v>600.6</v>
      </c>
      <c r="I25" s="6">
        <v>880</v>
      </c>
      <c r="J25" s="73">
        <v>0</v>
      </c>
      <c r="K25" s="70">
        <v>1250.14</v>
      </c>
      <c r="L25" s="71">
        <v>0</v>
      </c>
      <c r="M25" s="11">
        <f>M4/E56*E25</f>
        <v>12860.848454267267</v>
      </c>
      <c r="N25" s="7">
        <f t="shared" si="1"/>
        <v>7006.590237884806</v>
      </c>
      <c r="O25" s="7">
        <f t="shared" si="2"/>
        <v>55603.8281004885</v>
      </c>
      <c r="P25" s="10">
        <v>57192.84</v>
      </c>
      <c r="Q25" s="10">
        <v>55623.67</v>
      </c>
      <c r="R25" s="3">
        <f t="shared" si="0"/>
        <v>19.841899511498923</v>
      </c>
      <c r="S25" s="17"/>
    </row>
    <row r="26" spans="1:19" s="18" customFormat="1" ht="51.75" customHeight="1" thickBot="1">
      <c r="A26" s="16">
        <v>14</v>
      </c>
      <c r="B26" s="77" t="s">
        <v>40</v>
      </c>
      <c r="C26" s="12">
        <v>1986</v>
      </c>
      <c r="D26" s="12">
        <v>3215.3</v>
      </c>
      <c r="E26" s="12">
        <v>3215.3</v>
      </c>
      <c r="F26" s="6">
        <f>F4/E77*E26</f>
        <v>260484.49103390268</v>
      </c>
      <c r="G26" s="6">
        <f>(G4/H4*E26)</f>
        <v>214243.7530048248</v>
      </c>
      <c r="H26" s="6">
        <v>30191.88</v>
      </c>
      <c r="I26" s="6">
        <f>5419.53+120</f>
        <v>5539.53</v>
      </c>
      <c r="J26" s="73">
        <v>0</v>
      </c>
      <c r="K26" s="70">
        <v>7306.32</v>
      </c>
      <c r="L26" s="71">
        <v>0</v>
      </c>
      <c r="M26" s="11">
        <f>M4/E56*E26</f>
        <v>152588.509354264</v>
      </c>
      <c r="N26" s="7">
        <f t="shared" si="1"/>
        <v>83130.21989620302</v>
      </c>
      <c r="O26" s="7">
        <f t="shared" si="2"/>
        <v>670354.4833929916</v>
      </c>
      <c r="P26" s="10">
        <v>685971.78</v>
      </c>
      <c r="Q26" s="10">
        <v>685954.11</v>
      </c>
      <c r="R26" s="3">
        <f t="shared" si="0"/>
        <v>15599.626607008395</v>
      </c>
      <c r="S26" s="8" t="s">
        <v>100</v>
      </c>
    </row>
    <row r="27" spans="1:19" s="18" customFormat="1" ht="51.75" customHeight="1" thickBot="1">
      <c r="A27" s="16">
        <v>15</v>
      </c>
      <c r="B27" s="77" t="s">
        <v>7</v>
      </c>
      <c r="C27" s="12">
        <v>1977</v>
      </c>
      <c r="D27" s="12">
        <v>841.9</v>
      </c>
      <c r="E27" s="12">
        <v>841.9</v>
      </c>
      <c r="F27" s="6">
        <f>F4/E77*E27</f>
        <v>68205.7329025107</v>
      </c>
      <c r="G27" s="6">
        <f>(G4/H4*E27)</f>
        <v>56097.973954144865</v>
      </c>
      <c r="H27" s="6">
        <v>6940.63</v>
      </c>
      <c r="I27" s="6">
        <v>312</v>
      </c>
      <c r="J27" s="73">
        <v>0</v>
      </c>
      <c r="K27" s="70">
        <v>2396.41</v>
      </c>
      <c r="L27" s="71">
        <v>0</v>
      </c>
      <c r="M27" s="11">
        <f>M4/E56*E27</f>
        <v>39954.05281788787</v>
      </c>
      <c r="N27" s="7">
        <f t="shared" si="1"/>
        <v>21766.967975185307</v>
      </c>
      <c r="O27" s="7">
        <f t="shared" si="2"/>
        <v>173906.79967454344</v>
      </c>
      <c r="P27" s="10">
        <v>179348.1</v>
      </c>
      <c r="Q27" s="10">
        <v>176239.42</v>
      </c>
      <c r="R27" s="3">
        <f t="shared" si="0"/>
        <v>2332.620325456577</v>
      </c>
      <c r="S27" s="17" t="s">
        <v>83</v>
      </c>
    </row>
    <row r="28" spans="1:19" s="18" customFormat="1" ht="51.75" customHeight="1" thickBot="1">
      <c r="A28" s="16">
        <v>16</v>
      </c>
      <c r="B28" s="77" t="s">
        <v>41</v>
      </c>
      <c r="C28" s="12">
        <v>1966</v>
      </c>
      <c r="D28" s="12">
        <v>180.9</v>
      </c>
      <c r="E28" s="12">
        <v>180.9</v>
      </c>
      <c r="F28" s="6">
        <f>F4/E77*E28</f>
        <v>14655.442549072557</v>
      </c>
      <c r="G28" s="6">
        <v>0</v>
      </c>
      <c r="H28" s="6">
        <v>1920.78</v>
      </c>
      <c r="I28" s="6">
        <v>0</v>
      </c>
      <c r="J28" s="73">
        <v>0</v>
      </c>
      <c r="K28" s="70">
        <v>698.99</v>
      </c>
      <c r="L28" s="71">
        <v>0</v>
      </c>
      <c r="M28" s="11">
        <f>M4/E56*E28</f>
        <v>8584.972270763648</v>
      </c>
      <c r="N28" s="7">
        <f t="shared" si="1"/>
        <v>4677.092893112035</v>
      </c>
      <c r="O28" s="7">
        <f t="shared" si="2"/>
        <v>25860.184819836206</v>
      </c>
      <c r="P28" s="10">
        <v>37627.8</v>
      </c>
      <c r="Q28" s="10">
        <v>36913.25</v>
      </c>
      <c r="R28" s="3">
        <f t="shared" si="0"/>
        <v>11053.065180163794</v>
      </c>
      <c r="S28" s="17" t="s">
        <v>51</v>
      </c>
    </row>
    <row r="29" spans="1:19" s="18" customFormat="1" ht="51.75" customHeight="1" thickBot="1">
      <c r="A29" s="16">
        <v>17</v>
      </c>
      <c r="B29" s="77" t="s">
        <v>13</v>
      </c>
      <c r="C29" s="12">
        <v>1974</v>
      </c>
      <c r="D29" s="12">
        <v>715.6</v>
      </c>
      <c r="E29" s="12">
        <v>715.6</v>
      </c>
      <c r="F29" s="6">
        <f>F4/E77*E29</f>
        <v>57973.657756309134</v>
      </c>
      <c r="G29" s="6">
        <f>(G4/H4*E29)</f>
        <v>47682.27837223669</v>
      </c>
      <c r="H29" s="6">
        <v>12897.96</v>
      </c>
      <c r="I29" s="6">
        <f>381+60</f>
        <v>441</v>
      </c>
      <c r="J29" s="73">
        <v>0</v>
      </c>
      <c r="K29" s="70">
        <v>2460.86</v>
      </c>
      <c r="L29" s="71">
        <v>0</v>
      </c>
      <c r="M29" s="11">
        <f>M4/E56*E29</f>
        <v>33960.23304012419</v>
      </c>
      <c r="N29" s="7">
        <f t="shared" si="1"/>
        <v>18501.534960259658</v>
      </c>
      <c r="O29" s="7">
        <f t="shared" si="2"/>
        <v>155415.98916867</v>
      </c>
      <c r="P29" s="10">
        <v>136730.1</v>
      </c>
      <c r="Q29" s="10">
        <v>138307.76</v>
      </c>
      <c r="R29" s="3">
        <f t="shared" si="0"/>
        <v>-17108.22916866999</v>
      </c>
      <c r="S29" s="17" t="s">
        <v>84</v>
      </c>
    </row>
    <row r="30" spans="1:19" s="18" customFormat="1" ht="51.75" customHeight="1" thickBot="1">
      <c r="A30" s="16">
        <v>18</v>
      </c>
      <c r="B30" s="77" t="s">
        <v>14</v>
      </c>
      <c r="C30" s="12">
        <v>1972</v>
      </c>
      <c r="D30" s="12">
        <v>714.9</v>
      </c>
      <c r="E30" s="12">
        <v>714.9</v>
      </c>
      <c r="F30" s="6">
        <f>F4/E77*E30</f>
        <v>57916.94791781079</v>
      </c>
      <c r="G30" s="6">
        <f>(G4/H4*E30)</f>
        <v>47635.63556220236</v>
      </c>
      <c r="H30" s="6">
        <v>12262</v>
      </c>
      <c r="I30" s="6">
        <v>305</v>
      </c>
      <c r="J30" s="73">
        <v>0</v>
      </c>
      <c r="K30" s="70">
        <v>2480.58</v>
      </c>
      <c r="L30" s="71">
        <v>0</v>
      </c>
      <c r="M30" s="11">
        <f>M4/E56*E30</f>
        <v>33927.01313636778</v>
      </c>
      <c r="N30" s="7">
        <f t="shared" si="1"/>
        <v>18483.436756693165</v>
      </c>
      <c r="O30" s="7">
        <f t="shared" si="2"/>
        <v>154527.17661638092</v>
      </c>
      <c r="P30" s="10">
        <v>136615.45</v>
      </c>
      <c r="Q30" s="10">
        <v>129065.15</v>
      </c>
      <c r="R30" s="3">
        <f t="shared" si="0"/>
        <v>-25462.02661638093</v>
      </c>
      <c r="S30" s="17" t="s">
        <v>85</v>
      </c>
    </row>
    <row r="31" spans="1:19" s="18" customFormat="1" ht="51.75" customHeight="1" thickBot="1">
      <c r="A31" s="16">
        <v>19</v>
      </c>
      <c r="B31" s="77" t="s">
        <v>15</v>
      </c>
      <c r="C31" s="12">
        <v>1971</v>
      </c>
      <c r="D31" s="12">
        <v>715.2</v>
      </c>
      <c r="E31" s="12">
        <v>715.2</v>
      </c>
      <c r="F31" s="6">
        <f>F4/E77*E31</f>
        <v>57941.25213431008</v>
      </c>
      <c r="G31" s="6">
        <f>(G4/H4*E31)</f>
        <v>47655.625337931364</v>
      </c>
      <c r="H31" s="6">
        <v>3863.38</v>
      </c>
      <c r="I31" s="6">
        <f>684+30</f>
        <v>714</v>
      </c>
      <c r="J31" s="73">
        <v>0</v>
      </c>
      <c r="K31" s="70">
        <v>2460.86</v>
      </c>
      <c r="L31" s="71">
        <v>0</v>
      </c>
      <c r="M31" s="11">
        <f>M4/E56*E31</f>
        <v>33941.25023797767</v>
      </c>
      <c r="N31" s="7">
        <f t="shared" si="1"/>
        <v>18491.193129650233</v>
      </c>
      <c r="O31" s="7">
        <f t="shared" si="2"/>
        <v>146576.3677102191</v>
      </c>
      <c r="P31" s="10">
        <v>136216.56</v>
      </c>
      <c r="Q31" s="10">
        <v>141857.32</v>
      </c>
      <c r="R31" s="3">
        <f t="shared" si="0"/>
        <v>-4719.047710219107</v>
      </c>
      <c r="S31" s="17" t="s">
        <v>53</v>
      </c>
    </row>
    <row r="32" spans="1:19" s="18" customFormat="1" ht="51.75" customHeight="1" thickBot="1">
      <c r="A32" s="16">
        <v>20</v>
      </c>
      <c r="B32" s="77" t="s">
        <v>16</v>
      </c>
      <c r="C32" s="12">
        <v>1981</v>
      </c>
      <c r="D32" s="12">
        <v>875.2</v>
      </c>
      <c r="E32" s="12">
        <v>875.2</v>
      </c>
      <c r="F32" s="6">
        <f>F4/E77*E32</f>
        <v>70903.50093393202</v>
      </c>
      <c r="G32" s="6">
        <f>(G4/H4*E32)</f>
        <v>58316.839060063656</v>
      </c>
      <c r="H32" s="6">
        <v>8252.34</v>
      </c>
      <c r="I32" s="6">
        <v>422</v>
      </c>
      <c r="J32" s="73">
        <v>0</v>
      </c>
      <c r="K32" s="70">
        <v>2199.29</v>
      </c>
      <c r="L32" s="71">
        <v>0</v>
      </c>
      <c r="M32" s="11">
        <f>M4/E56*E32</f>
        <v>41534.37109658565</v>
      </c>
      <c r="N32" s="7">
        <f t="shared" si="1"/>
        <v>22627.92537341986</v>
      </c>
      <c r="O32" s="7">
        <f t="shared" si="2"/>
        <v>181628.34109058132</v>
      </c>
      <c r="P32" s="10">
        <v>184562.16</v>
      </c>
      <c r="Q32" s="10">
        <v>170762.56</v>
      </c>
      <c r="R32" s="3">
        <f t="shared" si="0"/>
        <v>-10865.781090581324</v>
      </c>
      <c r="S32" s="8" t="s">
        <v>114</v>
      </c>
    </row>
    <row r="33" spans="1:19" s="18" customFormat="1" ht="51.75" customHeight="1" thickBot="1">
      <c r="A33" s="16">
        <v>21</v>
      </c>
      <c r="B33" s="77" t="s">
        <v>17</v>
      </c>
      <c r="C33" s="12">
        <v>1981</v>
      </c>
      <c r="D33" s="12">
        <v>875.4</v>
      </c>
      <c r="E33" s="12">
        <v>875.4</v>
      </c>
      <c r="F33" s="6">
        <f>F4/E77*E33</f>
        <v>70919.70374493154</v>
      </c>
      <c r="G33" s="6">
        <f>(G4/H4*E33)</f>
        <v>58330.16557721632</v>
      </c>
      <c r="H33" s="6">
        <v>4732.33</v>
      </c>
      <c r="I33" s="6">
        <f>5975.15+488</f>
        <v>6463.15</v>
      </c>
      <c r="J33" s="73">
        <v>0</v>
      </c>
      <c r="K33" s="70">
        <v>2199.29</v>
      </c>
      <c r="L33" s="71">
        <v>0</v>
      </c>
      <c r="M33" s="11">
        <f>M4/E56*E33</f>
        <v>41543.86249765891</v>
      </c>
      <c r="N33" s="7">
        <f t="shared" si="1"/>
        <v>22633.096288724573</v>
      </c>
      <c r="O33" s="7">
        <f t="shared" si="2"/>
        <v>184188.50181980676</v>
      </c>
      <c r="P33" s="10">
        <v>185876.34</v>
      </c>
      <c r="Q33" s="10">
        <v>196690.9</v>
      </c>
      <c r="R33" s="3">
        <f t="shared" si="0"/>
        <v>12502.398180193239</v>
      </c>
      <c r="S33" s="8" t="s">
        <v>113</v>
      </c>
    </row>
    <row r="34" spans="1:19" s="18" customFormat="1" ht="51.75" customHeight="1" thickBot="1">
      <c r="A34" s="16">
        <v>22</v>
      </c>
      <c r="B34" s="77" t="s">
        <v>18</v>
      </c>
      <c r="C34" s="12">
        <v>1986</v>
      </c>
      <c r="D34" s="12">
        <v>3099.3</v>
      </c>
      <c r="E34" s="12">
        <v>3099.3</v>
      </c>
      <c r="F34" s="6">
        <f>F4/E77*E34</f>
        <v>251086.86065417677</v>
      </c>
      <c r="G34" s="6">
        <f>(G4/H4*E34)</f>
        <v>206514.3730562789</v>
      </c>
      <c r="H34" s="6">
        <v>34952.85</v>
      </c>
      <c r="I34" s="6">
        <v>1542.96</v>
      </c>
      <c r="J34" s="73">
        <v>0</v>
      </c>
      <c r="K34" s="70">
        <v>9731.9</v>
      </c>
      <c r="L34" s="71">
        <v>0</v>
      </c>
      <c r="M34" s="11">
        <f>M4/E56*E34</f>
        <v>147083.49673177322</v>
      </c>
      <c r="N34" s="7">
        <f t="shared" si="1"/>
        <v>80131.08901947005</v>
      </c>
      <c r="O34" s="7">
        <f t="shared" si="2"/>
        <v>650912.4404422289</v>
      </c>
      <c r="P34" s="10">
        <v>668177.1</v>
      </c>
      <c r="Q34" s="10">
        <v>633547.87</v>
      </c>
      <c r="R34" s="3">
        <f t="shared" si="0"/>
        <v>-17364.570442228927</v>
      </c>
      <c r="S34" s="8" t="s">
        <v>129</v>
      </c>
    </row>
    <row r="35" spans="1:19" s="20" customFormat="1" ht="51.75" customHeight="1" thickBot="1">
      <c r="A35" s="16">
        <v>23</v>
      </c>
      <c r="B35" s="77" t="s">
        <v>19</v>
      </c>
      <c r="C35" s="12">
        <v>1981</v>
      </c>
      <c r="D35" s="12">
        <v>878.4</v>
      </c>
      <c r="E35" s="12">
        <v>878.4</v>
      </c>
      <c r="F35" s="6">
        <f>F4/E77*E35</f>
        <v>71162.74590992446</v>
      </c>
      <c r="G35" s="6">
        <f>(G4/H4*E35)</f>
        <v>58530.063334506296</v>
      </c>
      <c r="H35" s="6">
        <v>5554.39</v>
      </c>
      <c r="I35" s="6">
        <v>3067.75</v>
      </c>
      <c r="J35" s="73">
        <f>2112.97+188.55</f>
        <v>2301.52</v>
      </c>
      <c r="K35" s="70">
        <v>2199.29</v>
      </c>
      <c r="L35" s="71">
        <v>0</v>
      </c>
      <c r="M35" s="11">
        <f>M4/E56*E35</f>
        <v>41686.23351375781</v>
      </c>
      <c r="N35" s="7">
        <f t="shared" si="1"/>
        <v>22710.660018295253</v>
      </c>
      <c r="O35" s="7">
        <f t="shared" si="2"/>
        <v>184501.99275818857</v>
      </c>
      <c r="P35" s="10">
        <v>185770.44</v>
      </c>
      <c r="Q35" s="10">
        <v>184610.96</v>
      </c>
      <c r="R35" s="3">
        <f t="shared" si="0"/>
        <v>108.96724181142054</v>
      </c>
      <c r="S35" s="8" t="s">
        <v>115</v>
      </c>
    </row>
    <row r="36" spans="1:19" s="20" customFormat="1" ht="51.75" customHeight="1" thickBot="1">
      <c r="A36" s="16">
        <v>24</v>
      </c>
      <c r="B36" s="77" t="s">
        <v>23</v>
      </c>
      <c r="C36" s="12">
        <v>1981</v>
      </c>
      <c r="D36" s="12">
        <v>858.9</v>
      </c>
      <c r="E36" s="12">
        <v>858.9</v>
      </c>
      <c r="F36" s="6">
        <f>F4/E77*E36</f>
        <v>69582.97183747053</v>
      </c>
      <c r="G36" s="6">
        <f>(G4/H4*E36)</f>
        <v>57230.72791212142</v>
      </c>
      <c r="H36" s="6">
        <v>5952.2</v>
      </c>
      <c r="I36" s="6">
        <v>1458</v>
      </c>
      <c r="J36" s="73">
        <v>0</v>
      </c>
      <c r="K36" s="70">
        <v>2199.29</v>
      </c>
      <c r="L36" s="71">
        <v>0</v>
      </c>
      <c r="M36" s="11">
        <f>M4/E56*E36</f>
        <v>40760.82190911496</v>
      </c>
      <c r="N36" s="7">
        <f t="shared" si="1"/>
        <v>22206.495776085827</v>
      </c>
      <c r="O36" s="7">
        <f t="shared" si="2"/>
        <v>177184.0116587069</v>
      </c>
      <c r="P36" s="10">
        <v>182190.3</v>
      </c>
      <c r="Q36" s="10">
        <v>171585.38</v>
      </c>
      <c r="R36" s="3">
        <f t="shared" si="0"/>
        <v>-5598.631658706901</v>
      </c>
      <c r="S36" s="8" t="s">
        <v>130</v>
      </c>
    </row>
    <row r="37" spans="1:19" s="18" customFormat="1" ht="51.75" customHeight="1" thickBot="1">
      <c r="A37" s="16">
        <v>25</v>
      </c>
      <c r="B37" s="77" t="s">
        <v>20</v>
      </c>
      <c r="C37" s="12">
        <v>1983</v>
      </c>
      <c r="D37" s="12">
        <v>3016.4</v>
      </c>
      <c r="E37" s="12">
        <v>3016.4</v>
      </c>
      <c r="F37" s="6">
        <f>F4/E77*E37</f>
        <v>244370.79549487264</v>
      </c>
      <c r="G37" s="6">
        <f>(G4/H4*E37)</f>
        <v>200990.5316964991</v>
      </c>
      <c r="H37" s="6">
        <v>15246.01</v>
      </c>
      <c r="I37" s="6">
        <f>1693+44</f>
        <v>1737</v>
      </c>
      <c r="J37" s="73">
        <v>0</v>
      </c>
      <c r="K37" s="70">
        <v>7597.07</v>
      </c>
      <c r="L37" s="71">
        <v>0</v>
      </c>
      <c r="M37" s="11">
        <f>M4/E56*E37</f>
        <v>143149.31098690696</v>
      </c>
      <c r="N37" s="7">
        <f t="shared" si="1"/>
        <v>77987.7446256669</v>
      </c>
      <c r="O37" s="7">
        <f t="shared" si="2"/>
        <v>613090.7181782787</v>
      </c>
      <c r="P37" s="10">
        <v>643707.03</v>
      </c>
      <c r="Q37" s="10">
        <v>664022.61</v>
      </c>
      <c r="R37" s="3">
        <f t="shared" si="0"/>
        <v>50931.891821721336</v>
      </c>
      <c r="S37" s="17" t="s">
        <v>146</v>
      </c>
    </row>
    <row r="38" spans="1:19" s="18" customFormat="1" ht="51.75" customHeight="1" thickBot="1">
      <c r="A38" s="16">
        <v>26</v>
      </c>
      <c r="B38" s="77" t="s">
        <v>21</v>
      </c>
      <c r="C38" s="12">
        <v>1982</v>
      </c>
      <c r="D38" s="12">
        <v>878.3</v>
      </c>
      <c r="E38" s="12">
        <v>878.3</v>
      </c>
      <c r="F38" s="6">
        <f>F4/E77*E38</f>
        <v>71154.6445044247</v>
      </c>
      <c r="G38" s="6">
        <f>(G4/H4*E38)</f>
        <v>58523.40007592997</v>
      </c>
      <c r="H38" s="6">
        <v>2716.49</v>
      </c>
      <c r="I38" s="6">
        <v>1993</v>
      </c>
      <c r="J38" s="73">
        <f>13099.14+377.2</f>
        <v>13476.34</v>
      </c>
      <c r="K38" s="70">
        <v>2214.07</v>
      </c>
      <c r="L38" s="71">
        <v>0</v>
      </c>
      <c r="M38" s="11">
        <f>M4/E56*E38</f>
        <v>41681.487813221174</v>
      </c>
      <c r="N38" s="7">
        <f t="shared" si="1"/>
        <v>22708.074560642894</v>
      </c>
      <c r="O38" s="7">
        <f t="shared" si="2"/>
        <v>191759.43239357584</v>
      </c>
      <c r="P38" s="10">
        <v>185388.3</v>
      </c>
      <c r="Q38" s="10">
        <v>170518.6</v>
      </c>
      <c r="R38" s="3">
        <f t="shared" si="0"/>
        <v>-21240.832393575838</v>
      </c>
      <c r="S38" s="8" t="s">
        <v>116</v>
      </c>
    </row>
    <row r="39" spans="1:19" s="18" customFormat="1" ht="51.75" customHeight="1" thickBot="1">
      <c r="A39" s="16">
        <v>27</v>
      </c>
      <c r="B39" s="77" t="s">
        <v>22</v>
      </c>
      <c r="C39" s="12">
        <v>1992</v>
      </c>
      <c r="D39" s="12">
        <v>2553.3</v>
      </c>
      <c r="E39" s="12">
        <v>2553.3</v>
      </c>
      <c r="F39" s="6">
        <f>F4/E77*E39</f>
        <v>206853.18662546691</v>
      </c>
      <c r="G39" s="6">
        <f>(G4/H4*E39)</f>
        <v>170132.98122950245</v>
      </c>
      <c r="H39" s="6">
        <v>22189.39</v>
      </c>
      <c r="I39" s="6">
        <f>2780.03+1893</f>
        <v>4673.030000000001</v>
      </c>
      <c r="J39" s="73">
        <v>0</v>
      </c>
      <c r="K39" s="70">
        <v>10305.43</v>
      </c>
      <c r="L39" s="71">
        <v>0</v>
      </c>
      <c r="M39" s="11">
        <f>M4/E56*E39</f>
        <v>121171.97180177348</v>
      </c>
      <c r="N39" s="7">
        <f t="shared" si="1"/>
        <v>66014.4902376062</v>
      </c>
      <c r="O39" s="7">
        <f t="shared" si="2"/>
        <v>535325.9896567429</v>
      </c>
      <c r="P39" s="10">
        <v>546187.08</v>
      </c>
      <c r="Q39" s="10">
        <v>539522.37</v>
      </c>
      <c r="R39" s="3">
        <f t="shared" si="0"/>
        <v>4196.3803432571</v>
      </c>
      <c r="S39" s="17" t="s">
        <v>54</v>
      </c>
    </row>
    <row r="40" spans="1:19" s="18" customFormat="1" ht="51.75" customHeight="1" thickBot="1">
      <c r="A40" s="16">
        <v>28</v>
      </c>
      <c r="B40" s="77" t="s">
        <v>24</v>
      </c>
      <c r="C40" s="12">
        <v>1987</v>
      </c>
      <c r="D40" s="12">
        <v>849.5</v>
      </c>
      <c r="E40" s="12">
        <v>849.5</v>
      </c>
      <c r="F40" s="6">
        <f>F4/E77*E40</f>
        <v>68821.43972049274</v>
      </c>
      <c r="G40" s="6">
        <f>(G4/H4*E40)</f>
        <v>56604.38160594615</v>
      </c>
      <c r="H40" s="6">
        <v>7243.26</v>
      </c>
      <c r="I40" s="6">
        <v>0</v>
      </c>
      <c r="J40" s="73">
        <v>0</v>
      </c>
      <c r="K40" s="70">
        <v>2214.07</v>
      </c>
      <c r="L40" s="71">
        <v>0</v>
      </c>
      <c r="M40" s="11">
        <f>M4/E56*E40</f>
        <v>40314.726058671746</v>
      </c>
      <c r="N40" s="7">
        <f t="shared" si="1"/>
        <v>21963.462756764366</v>
      </c>
      <c r="O40" s="7">
        <f t="shared" si="2"/>
        <v>175197.87738511065</v>
      </c>
      <c r="P40" s="10">
        <v>180098.22</v>
      </c>
      <c r="Q40" s="10">
        <v>158232.14</v>
      </c>
      <c r="R40" s="3">
        <f t="shared" si="0"/>
        <v>-16965.73738511064</v>
      </c>
      <c r="S40" s="8" t="s">
        <v>117</v>
      </c>
    </row>
    <row r="41" spans="1:19" s="18" customFormat="1" ht="51.75" customHeight="1" thickBot="1">
      <c r="A41" s="16">
        <v>29</v>
      </c>
      <c r="B41" s="77" t="s">
        <v>25</v>
      </c>
      <c r="C41" s="12">
        <v>1989</v>
      </c>
      <c r="D41" s="12">
        <v>856.7</v>
      </c>
      <c r="E41" s="12">
        <v>856.7</v>
      </c>
      <c r="F41" s="6">
        <f>F4/E77*E41</f>
        <v>69404.74091647574</v>
      </c>
      <c r="G41" s="6">
        <f>(G4/H4*E41)</f>
        <v>57084.13622344211</v>
      </c>
      <c r="H41" s="6">
        <v>5985.4</v>
      </c>
      <c r="I41" s="6">
        <f>5951+934</f>
        <v>6885</v>
      </c>
      <c r="J41" s="73">
        <v>0</v>
      </c>
      <c r="K41" s="70">
        <v>2199.29</v>
      </c>
      <c r="L41" s="71">
        <v>6480</v>
      </c>
      <c r="M41" s="11">
        <f>M4/E56*E41</f>
        <v>40656.4164973091</v>
      </c>
      <c r="N41" s="7">
        <f t="shared" si="1"/>
        <v>22149.615707733996</v>
      </c>
      <c r="O41" s="7">
        <f t="shared" si="2"/>
        <v>188694.98363722698</v>
      </c>
      <c r="P41" s="10">
        <v>180670.86</v>
      </c>
      <c r="Q41" s="10">
        <v>188470.45</v>
      </c>
      <c r="R41" s="3">
        <f t="shared" si="0"/>
        <v>-224.53363722696668</v>
      </c>
      <c r="S41" s="8" t="s">
        <v>118</v>
      </c>
    </row>
    <row r="42" spans="1:19" s="18" customFormat="1" ht="51.75" customHeight="1" thickBot="1">
      <c r="A42" s="16">
        <v>30</v>
      </c>
      <c r="B42" s="77" t="s">
        <v>43</v>
      </c>
      <c r="C42" s="12">
        <v>1990</v>
      </c>
      <c r="D42" s="12">
        <v>2196.6</v>
      </c>
      <c r="E42" s="12">
        <v>1196.6</v>
      </c>
      <c r="F42" s="6">
        <f>F4/E77*E42</f>
        <v>96941.41821017259</v>
      </c>
      <c r="G42" s="6">
        <f>(G4/H4*E42)</f>
        <v>79732.5521243969</v>
      </c>
      <c r="H42" s="6">
        <v>24132.34</v>
      </c>
      <c r="I42" s="6">
        <v>4481.31</v>
      </c>
      <c r="J42" s="73">
        <v>0</v>
      </c>
      <c r="K42" s="70">
        <v>0</v>
      </c>
      <c r="L42" s="71">
        <v>0</v>
      </c>
      <c r="M42" s="11">
        <f>M4/E56*E42</f>
        <v>56787.052621314426</v>
      </c>
      <c r="N42" s="7">
        <f t="shared" si="1"/>
        <v>30937.586268092098</v>
      </c>
      <c r="O42" s="7">
        <f t="shared" si="2"/>
        <v>262074.6729558839</v>
      </c>
      <c r="P42" s="10">
        <v>270311.92</v>
      </c>
      <c r="Q42" s="10">
        <v>244545.78</v>
      </c>
      <c r="R42" s="3">
        <f t="shared" si="0"/>
        <v>-17528.8929558839</v>
      </c>
      <c r="S42" s="8" t="s">
        <v>101</v>
      </c>
    </row>
    <row r="43" spans="1:19" s="18" customFormat="1" ht="51.75" customHeight="1" thickBot="1">
      <c r="A43" s="16">
        <v>31</v>
      </c>
      <c r="B43" s="77" t="s">
        <v>44</v>
      </c>
      <c r="C43" s="12">
        <v>1990</v>
      </c>
      <c r="D43" s="19">
        <v>619</v>
      </c>
      <c r="E43" s="19">
        <v>619</v>
      </c>
      <c r="F43" s="6">
        <f>F4/E77*E43</f>
        <v>50147.700043537385</v>
      </c>
      <c r="G43" s="6">
        <f>(G4/H4*E43)</f>
        <v>41245.570587499315</v>
      </c>
      <c r="H43" s="6">
        <v>5758.08</v>
      </c>
      <c r="I43" s="6">
        <f>314+241</f>
        <v>555</v>
      </c>
      <c r="J43" s="73">
        <v>0</v>
      </c>
      <c r="K43" s="70">
        <v>0</v>
      </c>
      <c r="L43" s="71">
        <v>0</v>
      </c>
      <c r="M43" s="11">
        <f>M4/E56*E43</f>
        <v>29375.88632173962</v>
      </c>
      <c r="N43" s="7">
        <f t="shared" si="1"/>
        <v>16003.982868083744</v>
      </c>
      <c r="O43" s="7">
        <f t="shared" si="2"/>
        <v>127082.23695277632</v>
      </c>
      <c r="P43" s="10">
        <v>130699.86</v>
      </c>
      <c r="Q43" s="10">
        <v>99211.81</v>
      </c>
      <c r="R43" s="3">
        <f t="shared" si="0"/>
        <v>-27870.426952776324</v>
      </c>
      <c r="S43" s="8" t="s">
        <v>119</v>
      </c>
    </row>
    <row r="44" spans="1:19" s="18" customFormat="1" ht="51.75" customHeight="1" thickBot="1">
      <c r="A44" s="16">
        <v>32</v>
      </c>
      <c r="B44" s="77" t="s">
        <v>39</v>
      </c>
      <c r="C44" s="12">
        <v>1988</v>
      </c>
      <c r="D44" s="12">
        <v>373.2</v>
      </c>
      <c r="E44" s="12">
        <v>373.2</v>
      </c>
      <c r="F44" s="6">
        <f>F4/E77*E44</f>
        <v>30234.445325118177</v>
      </c>
      <c r="G44" s="6">
        <f>(G4/H4*E44)</f>
        <v>24867.281006873578</v>
      </c>
      <c r="H44" s="6">
        <v>6367.16</v>
      </c>
      <c r="I44" s="6">
        <f>786+72</f>
        <v>858</v>
      </c>
      <c r="J44" s="73">
        <v>0</v>
      </c>
      <c r="K44" s="70">
        <v>1210.72</v>
      </c>
      <c r="L44" s="71">
        <v>2880</v>
      </c>
      <c r="M44" s="11">
        <f>M4/E56*E44</f>
        <v>17710.95440270311</v>
      </c>
      <c r="N44" s="7">
        <f t="shared" si="1"/>
        <v>9648.927958592654</v>
      </c>
      <c r="O44" s="7">
        <f t="shared" si="2"/>
        <v>84128.56073469487</v>
      </c>
      <c r="P44" s="10">
        <v>71908.08</v>
      </c>
      <c r="Q44" s="10">
        <v>74980.71</v>
      </c>
      <c r="R44" s="3">
        <f t="shared" si="0"/>
        <v>-9147.85073469486</v>
      </c>
      <c r="S44" s="17" t="s">
        <v>97</v>
      </c>
    </row>
    <row r="45" spans="1:19" s="18" customFormat="1" ht="51.75" customHeight="1" thickBot="1">
      <c r="A45" s="16">
        <v>33</v>
      </c>
      <c r="B45" s="77" t="s">
        <v>26</v>
      </c>
      <c r="C45" s="12">
        <v>1964</v>
      </c>
      <c r="D45" s="12">
        <v>376.6</v>
      </c>
      <c r="E45" s="12">
        <v>376.6</v>
      </c>
      <c r="F45" s="6">
        <f>F4/E77*E45</f>
        <v>30509.893112110145</v>
      </c>
      <c r="G45" s="6">
        <v>0</v>
      </c>
      <c r="H45" s="6">
        <v>1239.72</v>
      </c>
      <c r="I45" s="6">
        <v>1887.06</v>
      </c>
      <c r="J45" s="73">
        <v>0</v>
      </c>
      <c r="K45" s="70">
        <v>1210.72</v>
      </c>
      <c r="L45" s="71">
        <v>0</v>
      </c>
      <c r="M45" s="11">
        <f>M4/E56*E45</f>
        <v>17872.308220948533</v>
      </c>
      <c r="N45" s="7">
        <f t="shared" si="1"/>
        <v>9736.833518772759</v>
      </c>
      <c r="O45" s="7">
        <f t="shared" si="2"/>
        <v>52719.70133305868</v>
      </c>
      <c r="P45" s="10">
        <v>50680.62</v>
      </c>
      <c r="Q45" s="10">
        <v>43702.17</v>
      </c>
      <c r="R45" s="3">
        <f t="shared" si="0"/>
        <v>-9017.53133305868</v>
      </c>
      <c r="S45" s="17"/>
    </row>
    <row r="46" spans="1:19" s="18" customFormat="1" ht="51.75" customHeight="1" thickBot="1">
      <c r="A46" s="16">
        <v>34</v>
      </c>
      <c r="B46" s="77" t="s">
        <v>27</v>
      </c>
      <c r="C46" s="12">
        <v>1954</v>
      </c>
      <c r="D46" s="12">
        <v>400.3</v>
      </c>
      <c r="E46" s="12">
        <v>400.3</v>
      </c>
      <c r="F46" s="6">
        <f>F4/E77*E46</f>
        <v>32429.926215554144</v>
      </c>
      <c r="G46" s="6">
        <v>0</v>
      </c>
      <c r="H46" s="6">
        <v>1315.94</v>
      </c>
      <c r="I46" s="6">
        <v>0</v>
      </c>
      <c r="J46" s="73">
        <v>0</v>
      </c>
      <c r="K46" s="70">
        <v>2716.34</v>
      </c>
      <c r="L46" s="71">
        <v>0</v>
      </c>
      <c r="M46" s="11">
        <f>M4/E56*E46</f>
        <v>18997.03924812984</v>
      </c>
      <c r="N46" s="7">
        <f t="shared" si="1"/>
        <v>10349.586982381135</v>
      </c>
      <c r="O46" s="7">
        <f t="shared" si="2"/>
        <v>55459.24546368399</v>
      </c>
      <c r="P46" s="10">
        <v>52090.86</v>
      </c>
      <c r="Q46" s="10">
        <v>57349.72</v>
      </c>
      <c r="R46" s="3">
        <f t="shared" si="0"/>
        <v>1890.474536316011</v>
      </c>
      <c r="S46" s="17"/>
    </row>
    <row r="47" spans="1:19" s="18" customFormat="1" ht="51.75" customHeight="1" thickBot="1">
      <c r="A47" s="16">
        <v>35</v>
      </c>
      <c r="B47" s="77" t="s">
        <v>29</v>
      </c>
      <c r="C47" s="12">
        <v>1970</v>
      </c>
      <c r="D47" s="12">
        <v>708.6</v>
      </c>
      <c r="E47" s="12">
        <v>708.6</v>
      </c>
      <c r="F47" s="6">
        <f>F4/E77*E47</f>
        <v>57406.559371325675</v>
      </c>
      <c r="G47" s="6">
        <v>0</v>
      </c>
      <c r="H47" s="6">
        <v>6674.96</v>
      </c>
      <c r="I47" s="6">
        <v>0</v>
      </c>
      <c r="J47" s="73">
        <v>0</v>
      </c>
      <c r="K47" s="70">
        <v>2470.72</v>
      </c>
      <c r="L47" s="71">
        <v>0</v>
      </c>
      <c r="M47" s="11">
        <f>M4/E56*E47</f>
        <v>33628.03400256009</v>
      </c>
      <c r="N47" s="7">
        <f t="shared" si="1"/>
        <v>18320.552924594736</v>
      </c>
      <c r="O47" s="7">
        <f t="shared" si="2"/>
        <v>100180.27337388576</v>
      </c>
      <c r="P47" s="10">
        <v>113412</v>
      </c>
      <c r="Q47" s="10">
        <v>114713.3</v>
      </c>
      <c r="R47" s="3">
        <f t="shared" si="0"/>
        <v>14533.026626114239</v>
      </c>
      <c r="S47" s="17" t="s">
        <v>86</v>
      </c>
    </row>
    <row r="48" spans="1:19" s="18" customFormat="1" ht="51.75" customHeight="1" thickBot="1">
      <c r="A48" s="16">
        <v>36</v>
      </c>
      <c r="B48" s="77" t="s">
        <v>30</v>
      </c>
      <c r="C48" s="12">
        <v>1983</v>
      </c>
      <c r="D48" s="12">
        <v>383.1</v>
      </c>
      <c r="E48" s="12">
        <v>383.1</v>
      </c>
      <c r="F48" s="6">
        <f>F4/E77*E48</f>
        <v>31036.484469594787</v>
      </c>
      <c r="G48" s="6">
        <f>(G4/H4*E48)</f>
        <v>25526.943605930515</v>
      </c>
      <c r="H48" s="6">
        <v>1445.04</v>
      </c>
      <c r="I48" s="6">
        <v>258.08</v>
      </c>
      <c r="J48" s="73">
        <v>28082.92</v>
      </c>
      <c r="K48" s="70">
        <v>1023.46</v>
      </c>
      <c r="L48" s="71">
        <v>0</v>
      </c>
      <c r="M48" s="11">
        <f>M4/E56*E48</f>
        <v>18180.778755829484</v>
      </c>
      <c r="N48" s="7">
        <f t="shared" si="1"/>
        <v>9904.888266175902</v>
      </c>
      <c r="O48" s="7">
        <f t="shared" si="2"/>
        <v>105553.7068313548</v>
      </c>
      <c r="P48" s="10">
        <v>81059.26</v>
      </c>
      <c r="Q48" s="10">
        <v>85521.16</v>
      </c>
      <c r="R48" s="3">
        <f t="shared" si="0"/>
        <v>-20032.54683135479</v>
      </c>
      <c r="S48" s="17" t="s">
        <v>87</v>
      </c>
    </row>
    <row r="49" spans="1:19" s="18" customFormat="1" ht="50.25" customHeight="1" thickBot="1">
      <c r="A49" s="16">
        <v>37</v>
      </c>
      <c r="B49" s="77" t="s">
        <v>31</v>
      </c>
      <c r="C49" s="12">
        <v>1987</v>
      </c>
      <c r="D49" s="12">
        <v>4309.4</v>
      </c>
      <c r="E49" s="12">
        <v>4309.4</v>
      </c>
      <c r="F49" s="6">
        <f>F4/E77*E49</f>
        <v>349121.9686068174</v>
      </c>
      <c r="G49" s="6">
        <f>(G4/H4*E49)</f>
        <v>287146.4650884807</v>
      </c>
      <c r="H49" s="6">
        <v>35822.3</v>
      </c>
      <c r="I49" s="6">
        <v>5540</v>
      </c>
      <c r="J49" s="73">
        <f>3112.54</f>
        <v>3112.54</v>
      </c>
      <c r="K49" s="70">
        <v>9741.76</v>
      </c>
      <c r="L49" s="71">
        <v>0</v>
      </c>
      <c r="M49" s="11">
        <f>M4/E56*E49</f>
        <v>204511.21892553265</v>
      </c>
      <c r="N49" s="7">
        <f t="shared" si="1"/>
        <v>111417.71207063018</v>
      </c>
      <c r="O49" s="7">
        <f t="shared" si="2"/>
        <v>894996.2526208309</v>
      </c>
      <c r="P49" s="10">
        <v>920857.54</v>
      </c>
      <c r="Q49" s="10">
        <v>896127.17</v>
      </c>
      <c r="R49" s="3">
        <f t="shared" si="0"/>
        <v>1130.9173791691428</v>
      </c>
      <c r="S49" s="8" t="s">
        <v>102</v>
      </c>
    </row>
    <row r="50" spans="1:19" s="18" customFormat="1" ht="50.25" customHeight="1" thickBot="1">
      <c r="A50" s="16">
        <v>38</v>
      </c>
      <c r="B50" s="77" t="s">
        <v>32</v>
      </c>
      <c r="C50" s="12">
        <v>1986</v>
      </c>
      <c r="D50" s="12">
        <v>841.6</v>
      </c>
      <c r="E50" s="12">
        <v>841.6</v>
      </c>
      <c r="F50" s="6">
        <f>F4/E77*E50</f>
        <v>68181.42868601141</v>
      </c>
      <c r="G50" s="6">
        <f>(G4/H4*E50)</f>
        <v>56077.98417841587</v>
      </c>
      <c r="H50" s="6">
        <v>3481.78</v>
      </c>
      <c r="I50" s="6">
        <f>1928+30</f>
        <v>1958</v>
      </c>
      <c r="J50" s="73">
        <v>0</v>
      </c>
      <c r="K50" s="70">
        <v>2199.29</v>
      </c>
      <c r="L50" s="71">
        <v>0</v>
      </c>
      <c r="M50" s="11">
        <f>M4/E56*E50</f>
        <v>39939.815716277975</v>
      </c>
      <c r="N50" s="7">
        <f t="shared" si="1"/>
        <v>21759.21160222824</v>
      </c>
      <c r="O50" s="7">
        <f t="shared" si="2"/>
        <v>171838.29858070528</v>
      </c>
      <c r="P50" s="10">
        <v>178250.7</v>
      </c>
      <c r="Q50" s="10">
        <v>178533.44</v>
      </c>
      <c r="R50" s="3">
        <f t="shared" si="0"/>
        <v>6695.141419294727</v>
      </c>
      <c r="S50" s="8" t="s">
        <v>103</v>
      </c>
    </row>
    <row r="51" spans="1:20" s="18" customFormat="1" ht="50.25" customHeight="1" thickBot="1">
      <c r="A51" s="16">
        <v>39</v>
      </c>
      <c r="B51" s="77" t="s">
        <v>33</v>
      </c>
      <c r="C51" s="12">
        <v>1987</v>
      </c>
      <c r="D51" s="12">
        <v>872.5</v>
      </c>
      <c r="E51" s="12">
        <v>872.5</v>
      </c>
      <c r="F51" s="6">
        <f>F4/E77*E51</f>
        <v>70684.7629854384</v>
      </c>
      <c r="G51" s="6">
        <f>(G4/H4*E51)</f>
        <v>58136.93107850267</v>
      </c>
      <c r="H51" s="6">
        <v>7524.03</v>
      </c>
      <c r="I51" s="6">
        <v>560</v>
      </c>
      <c r="J51" s="73">
        <v>0</v>
      </c>
      <c r="K51" s="70">
        <v>2199.29</v>
      </c>
      <c r="L51" s="71">
        <v>0</v>
      </c>
      <c r="M51" s="11">
        <f>M4/E56*E51</f>
        <v>41406.237182096644</v>
      </c>
      <c r="N51" s="7">
        <f t="shared" si="1"/>
        <v>22558.11801680625</v>
      </c>
      <c r="O51" s="7">
        <f t="shared" si="2"/>
        <v>180511.25124603772</v>
      </c>
      <c r="P51" s="10">
        <v>184518.54</v>
      </c>
      <c r="Q51" s="10">
        <v>195743.47</v>
      </c>
      <c r="R51" s="3">
        <f t="shared" si="0"/>
        <v>15232.218753962283</v>
      </c>
      <c r="S51" s="8" t="s">
        <v>110</v>
      </c>
      <c r="T51" s="18" t="s">
        <v>106</v>
      </c>
    </row>
    <row r="52" spans="1:19" s="18" customFormat="1" ht="50.25" customHeight="1" thickBot="1">
      <c r="A52" s="16">
        <v>40</v>
      </c>
      <c r="B52" s="77" t="s">
        <v>34</v>
      </c>
      <c r="C52" s="12">
        <v>1983</v>
      </c>
      <c r="D52" s="12">
        <v>826.2</v>
      </c>
      <c r="E52" s="12">
        <v>826.2</v>
      </c>
      <c r="F52" s="6">
        <f>F4/E77*E52</f>
        <v>66933.8122390478</v>
      </c>
      <c r="G52" s="6">
        <f>(G4/H4*E52)</f>
        <v>55051.842357660644</v>
      </c>
      <c r="H52" s="6">
        <v>7293.14</v>
      </c>
      <c r="I52" s="6">
        <f>3913.15+49</f>
        <v>3962.15</v>
      </c>
      <c r="J52" s="73">
        <v>0</v>
      </c>
      <c r="K52" s="70">
        <v>2199.29</v>
      </c>
      <c r="L52" s="71">
        <v>0</v>
      </c>
      <c r="M52" s="11">
        <f>M4/E56*E52</f>
        <v>39208.977833636956</v>
      </c>
      <c r="N52" s="7">
        <f t="shared" si="1"/>
        <v>21361.051123765414</v>
      </c>
      <c r="O52" s="7">
        <f t="shared" si="2"/>
        <v>174649.2124303454</v>
      </c>
      <c r="P52" s="10">
        <v>175414.5</v>
      </c>
      <c r="Q52" s="10">
        <v>159947.59</v>
      </c>
      <c r="R52" s="3">
        <f t="shared" si="0"/>
        <v>-14701.622430345393</v>
      </c>
      <c r="S52" s="8" t="s">
        <v>122</v>
      </c>
    </row>
    <row r="53" spans="1:19" s="18" customFormat="1" ht="50.25" customHeight="1" thickBot="1">
      <c r="A53" s="16">
        <v>41</v>
      </c>
      <c r="B53" s="77" t="s">
        <v>35</v>
      </c>
      <c r="C53" s="12">
        <v>1987</v>
      </c>
      <c r="D53" s="12">
        <v>4280.1</v>
      </c>
      <c r="E53" s="12">
        <v>4280.1</v>
      </c>
      <c r="F53" s="6">
        <f>F4/E77*E53</f>
        <v>346748.2567953867</v>
      </c>
      <c r="G53" s="6">
        <f>(G4/H4*E53)</f>
        <v>285194.13032561523</v>
      </c>
      <c r="H53" s="6">
        <v>48584.17</v>
      </c>
      <c r="I53" s="6">
        <v>985</v>
      </c>
      <c r="J53" s="73">
        <v>1105.72</v>
      </c>
      <c r="K53" s="70">
        <v>9741.76</v>
      </c>
      <c r="L53" s="71">
        <v>0</v>
      </c>
      <c r="M53" s="11">
        <f>M4/E56*E53</f>
        <v>203120.72866830011</v>
      </c>
      <c r="N53" s="7">
        <f t="shared" si="1"/>
        <v>110660.17297848989</v>
      </c>
      <c r="O53" s="7">
        <f t="shared" si="2"/>
        <v>895479.7657893021</v>
      </c>
      <c r="P53" s="10">
        <v>911966.23</v>
      </c>
      <c r="Q53" s="10">
        <v>914717.68</v>
      </c>
      <c r="R53" s="3">
        <f t="shared" si="0"/>
        <v>19237.914210697985</v>
      </c>
      <c r="S53" s="8" t="s">
        <v>104</v>
      </c>
    </row>
    <row r="54" spans="1:19" s="18" customFormat="1" ht="50.25" customHeight="1" thickBot="1">
      <c r="A54" s="16">
        <v>42</v>
      </c>
      <c r="B54" s="77" t="s">
        <v>36</v>
      </c>
      <c r="C54" s="21">
        <v>1985</v>
      </c>
      <c r="D54" s="21">
        <v>4234.9</v>
      </c>
      <c r="E54" s="21">
        <v>4234.9</v>
      </c>
      <c r="F54" s="10">
        <f>F4/E77*E54</f>
        <v>343086.42150949343</v>
      </c>
      <c r="G54" s="10">
        <f>(G4/H4*E54)</f>
        <v>282182.33744911285</v>
      </c>
      <c r="H54" s="10">
        <v>28182.08</v>
      </c>
      <c r="I54" s="10">
        <v>17766</v>
      </c>
      <c r="J54" s="73">
        <f>1311.07+262</f>
        <v>1573.07</v>
      </c>
      <c r="K54" s="70">
        <v>9741.76</v>
      </c>
      <c r="L54" s="71">
        <v>0</v>
      </c>
      <c r="M54" s="11">
        <f>M4/E56*E54</f>
        <v>200975.67202574332</v>
      </c>
      <c r="N54" s="10">
        <f t="shared" si="1"/>
        <v>109491.54611962495</v>
      </c>
      <c r="O54" s="10">
        <f t="shared" si="2"/>
        <v>883507.3409843495</v>
      </c>
      <c r="P54" s="10">
        <v>900619.44</v>
      </c>
      <c r="Q54" s="10">
        <v>871065.98</v>
      </c>
      <c r="R54" s="3">
        <f t="shared" si="0"/>
        <v>-12441.360984349507</v>
      </c>
      <c r="S54" s="17" t="s">
        <v>88</v>
      </c>
    </row>
    <row r="55" spans="1:19" s="18" customFormat="1" ht="50.25" customHeight="1" thickBot="1">
      <c r="A55" s="16">
        <v>43</v>
      </c>
      <c r="B55" s="77" t="s">
        <v>37</v>
      </c>
      <c r="C55" s="12">
        <v>1986</v>
      </c>
      <c r="D55" s="12">
        <v>843.8</v>
      </c>
      <c r="E55" s="12">
        <v>843.8</v>
      </c>
      <c r="F55" s="6">
        <f>F4/E77*E55</f>
        <v>68359.65960700621</v>
      </c>
      <c r="G55" s="6">
        <f>(G4/H4*E55)</f>
        <v>56224.57586709519</v>
      </c>
      <c r="H55" s="6">
        <v>9746.07</v>
      </c>
      <c r="I55" s="6">
        <v>413</v>
      </c>
      <c r="J55" s="73">
        <v>0</v>
      </c>
      <c r="K55" s="70">
        <v>2199.29</v>
      </c>
      <c r="L55" s="71">
        <v>0</v>
      </c>
      <c r="M55" s="11">
        <f>M4/E56*E55</f>
        <v>40044.22112808383</v>
      </c>
      <c r="N55" s="7">
        <f t="shared" si="1"/>
        <v>21816.09167058007</v>
      </c>
      <c r="O55" s="7">
        <f t="shared" si="2"/>
        <v>176986.81660218522</v>
      </c>
      <c r="P55" s="10">
        <v>178643.58</v>
      </c>
      <c r="Q55" s="10">
        <v>182236.44</v>
      </c>
      <c r="R55" s="3">
        <f t="shared" si="0"/>
        <v>5249.623397814779</v>
      </c>
      <c r="S55" s="17" t="s">
        <v>89</v>
      </c>
    </row>
    <row r="56" spans="1:19" s="1" customFormat="1" ht="50.25" customHeight="1" thickBot="1">
      <c r="A56" s="26"/>
      <c r="B56" s="77" t="s">
        <v>66</v>
      </c>
      <c r="C56" s="27"/>
      <c r="D56" s="28">
        <f>SUM(D13:D55)</f>
        <v>65606.90000000001</v>
      </c>
      <c r="E56" s="28">
        <f aca="true" t="shared" si="3" ref="E56:L56">SUM(E13:E55)</f>
        <v>64606.90000000001</v>
      </c>
      <c r="F56" s="3">
        <f>SUM(F13:F55)</f>
        <v>5234066.949826842</v>
      </c>
      <c r="G56" s="3">
        <f t="shared" si="3"/>
        <v>4193888.264236673</v>
      </c>
      <c r="H56" s="3">
        <f>SUM(H13:H55)</f>
        <v>644353.9100000001</v>
      </c>
      <c r="I56" s="3">
        <f t="shared" si="3"/>
        <v>175307.62</v>
      </c>
      <c r="J56" s="74">
        <f t="shared" si="3"/>
        <v>228957.86</v>
      </c>
      <c r="K56" s="74">
        <f t="shared" si="3"/>
        <v>155168.44</v>
      </c>
      <c r="L56" s="74">
        <f t="shared" si="3"/>
        <v>43920</v>
      </c>
      <c r="M56" s="3">
        <f aca="true" t="shared" si="4" ref="M56:R56">SUM(M13:M55)</f>
        <v>3066049.999999999</v>
      </c>
      <c r="N56" s="3">
        <f t="shared" si="4"/>
        <v>1670384.0399999993</v>
      </c>
      <c r="O56" s="3">
        <f t="shared" si="4"/>
        <v>13741713.044063514</v>
      </c>
      <c r="P56" s="3">
        <f t="shared" si="4"/>
        <v>13608400.759999994</v>
      </c>
      <c r="Q56" s="3">
        <f t="shared" si="4"/>
        <v>13193937.800000003</v>
      </c>
      <c r="R56" s="3">
        <f t="shared" si="4"/>
        <v>-547775.2440635154</v>
      </c>
      <c r="S56" s="17"/>
    </row>
    <row r="57" spans="1:19" s="1" customFormat="1" ht="50.25" customHeight="1" thickBot="1">
      <c r="A57" s="4" t="s">
        <v>2</v>
      </c>
      <c r="B57" s="77" t="s">
        <v>67</v>
      </c>
      <c r="C57" s="5">
        <v>1973</v>
      </c>
      <c r="D57" s="22">
        <v>331.1</v>
      </c>
      <c r="E57" s="22">
        <v>331.1</v>
      </c>
      <c r="F57" s="6">
        <f>F4/E77*E57+F3/E72*E57</f>
        <v>26823.753609717656</v>
      </c>
      <c r="G57" s="6">
        <v>0</v>
      </c>
      <c r="H57" s="6">
        <v>808.86</v>
      </c>
      <c r="I57" s="75">
        <v>0</v>
      </c>
      <c r="J57" s="73">
        <v>0</v>
      </c>
      <c r="K57" s="6">
        <v>1250.14</v>
      </c>
      <c r="L57" s="6">
        <v>0</v>
      </c>
      <c r="M57" s="6">
        <f>M3/E72*E57</f>
        <v>19256.157492221355</v>
      </c>
      <c r="N57" s="6">
        <f>M57*54.48%</f>
        <v>10490.754601762193</v>
      </c>
      <c r="O57" s="7">
        <f t="shared" si="2"/>
        <v>48138.91110193901</v>
      </c>
      <c r="P57" s="10">
        <v>69111.68</v>
      </c>
      <c r="Q57" s="10">
        <v>65350.4</v>
      </c>
      <c r="R57" s="3">
        <f aca="true" t="shared" si="5" ref="R57:R71">Q57-O57</f>
        <v>17211.48889806099</v>
      </c>
      <c r="S57" s="8" t="s">
        <v>124</v>
      </c>
    </row>
    <row r="58" spans="1:19" s="1" customFormat="1" ht="50.25" customHeight="1" thickBot="1">
      <c r="A58" s="4">
        <v>2</v>
      </c>
      <c r="B58" s="77" t="s">
        <v>68</v>
      </c>
      <c r="C58" s="5">
        <v>1976</v>
      </c>
      <c r="D58" s="5">
        <v>371.4</v>
      </c>
      <c r="E58" s="5">
        <v>371.4</v>
      </c>
      <c r="F58" s="6">
        <f>F4/E77*E58+F3/E72*E58</f>
        <v>30088.62002612243</v>
      </c>
      <c r="G58" s="6">
        <v>0</v>
      </c>
      <c r="H58" s="6">
        <v>-3789.4</v>
      </c>
      <c r="I58" s="75">
        <v>0</v>
      </c>
      <c r="J58" s="73">
        <v>0</v>
      </c>
      <c r="K58" s="6">
        <v>1250.14</v>
      </c>
      <c r="L58" s="6">
        <v>0</v>
      </c>
      <c r="M58" s="6">
        <f>M3/E72*E58</f>
        <v>21599.930210241648</v>
      </c>
      <c r="N58" s="6">
        <f aca="true" t="shared" si="6" ref="N58:N71">M58*54.48%</f>
        <v>11767.641978539648</v>
      </c>
      <c r="O58" s="7">
        <f t="shared" si="2"/>
        <v>49149.290236364075</v>
      </c>
      <c r="P58" s="10">
        <v>68757.3</v>
      </c>
      <c r="Q58" s="10">
        <v>59475.99</v>
      </c>
      <c r="R58" s="3">
        <f t="shared" si="5"/>
        <v>10326.699763635923</v>
      </c>
      <c r="S58" s="17" t="s">
        <v>90</v>
      </c>
    </row>
    <row r="59" spans="1:19" s="1" customFormat="1" ht="50.25" customHeight="1" thickBot="1">
      <c r="A59" s="4">
        <v>3</v>
      </c>
      <c r="B59" s="77" t="s">
        <v>69</v>
      </c>
      <c r="C59" s="5">
        <v>1975</v>
      </c>
      <c r="D59" s="5">
        <v>371.4</v>
      </c>
      <c r="E59" s="5">
        <v>371.4</v>
      </c>
      <c r="F59" s="6">
        <f>F4/E77*E59+F3/E72*E59</f>
        <v>30088.62002612243</v>
      </c>
      <c r="G59" s="6">
        <v>0</v>
      </c>
      <c r="H59" s="6">
        <v>1068.73</v>
      </c>
      <c r="I59" s="75">
        <v>0</v>
      </c>
      <c r="J59" s="73">
        <v>0</v>
      </c>
      <c r="K59" s="6">
        <v>1250.14</v>
      </c>
      <c r="L59" s="6">
        <v>0</v>
      </c>
      <c r="M59" s="6">
        <f>M3/E72*E59</f>
        <v>21599.930210241648</v>
      </c>
      <c r="N59" s="6">
        <f t="shared" si="6"/>
        <v>11767.641978539648</v>
      </c>
      <c r="O59" s="7">
        <f t="shared" si="2"/>
        <v>54007.42023636408</v>
      </c>
      <c r="P59" s="10">
        <v>49204.98</v>
      </c>
      <c r="Q59" s="10">
        <v>34966.87</v>
      </c>
      <c r="R59" s="3">
        <f t="shared" si="5"/>
        <v>-19040.550236364077</v>
      </c>
      <c r="S59" s="8" t="s">
        <v>105</v>
      </c>
    </row>
    <row r="60" spans="1:19" s="1" customFormat="1" ht="50.25" customHeight="1" thickBot="1">
      <c r="A60" s="4">
        <v>4</v>
      </c>
      <c r="B60" s="77" t="s">
        <v>70</v>
      </c>
      <c r="C60" s="5">
        <v>1986</v>
      </c>
      <c r="D60" s="5">
        <v>496.8</v>
      </c>
      <c r="E60" s="5">
        <v>496.8</v>
      </c>
      <c r="F60" s="6">
        <f>F4/E77*E60+F3/E72*E60</f>
        <v>40247.78252282613</v>
      </c>
      <c r="G60" s="6">
        <v>0</v>
      </c>
      <c r="H60" s="6">
        <v>-722.12</v>
      </c>
      <c r="I60" s="75">
        <v>3547.78</v>
      </c>
      <c r="J60" s="73">
        <f>7399.42+822</f>
        <v>8221.42</v>
      </c>
      <c r="K60" s="6">
        <v>1250.14</v>
      </c>
      <c r="L60" s="6">
        <v>0</v>
      </c>
      <c r="M60" s="6">
        <f>M3/E72*E60</f>
        <v>28892.95995812615</v>
      </c>
      <c r="N60" s="6">
        <f t="shared" si="6"/>
        <v>15740.884585187125</v>
      </c>
      <c r="O60" s="7">
        <f t="shared" si="2"/>
        <v>81437.96248095226</v>
      </c>
      <c r="P60" s="10">
        <v>94630.08</v>
      </c>
      <c r="Q60" s="10">
        <v>82795.17</v>
      </c>
      <c r="R60" s="3">
        <f t="shared" si="5"/>
        <v>1357.2075190477335</v>
      </c>
      <c r="S60" s="8" t="s">
        <v>125</v>
      </c>
    </row>
    <row r="61" spans="1:19" s="1" customFormat="1" ht="50.25" customHeight="1" thickBot="1">
      <c r="A61" s="4">
        <v>5</v>
      </c>
      <c r="B61" s="77" t="s">
        <v>71</v>
      </c>
      <c r="C61" s="5">
        <v>1981</v>
      </c>
      <c r="D61" s="5">
        <v>500.6</v>
      </c>
      <c r="E61" s="5">
        <v>500.6</v>
      </c>
      <c r="F61" s="6">
        <f>F4/E77*E61+F3/E72*E61</f>
        <v>40555.63593181715</v>
      </c>
      <c r="G61" s="6">
        <v>0</v>
      </c>
      <c r="H61" s="6">
        <v>924.88</v>
      </c>
      <c r="I61" s="75">
        <v>2259.61</v>
      </c>
      <c r="J61" s="73">
        <f>3479.77</f>
        <v>3479.77</v>
      </c>
      <c r="K61" s="6">
        <v>1250.14</v>
      </c>
      <c r="L61" s="6">
        <v>0</v>
      </c>
      <c r="M61" s="6">
        <f>M3/E72*E61</f>
        <v>29113.960859577197</v>
      </c>
      <c r="N61" s="6">
        <f t="shared" si="6"/>
        <v>15861.285876297656</v>
      </c>
      <c r="O61" s="7">
        <f t="shared" si="2"/>
        <v>77583.99679139434</v>
      </c>
      <c r="P61" s="10">
        <v>91503.72</v>
      </c>
      <c r="Q61" s="10">
        <v>83422.71</v>
      </c>
      <c r="R61" s="3">
        <f t="shared" si="5"/>
        <v>5838.713208605666</v>
      </c>
      <c r="S61" s="8" t="s">
        <v>126</v>
      </c>
    </row>
    <row r="62" spans="1:19" s="1" customFormat="1" ht="50.25" customHeight="1" thickBot="1">
      <c r="A62" s="4">
        <v>6</v>
      </c>
      <c r="B62" s="77" t="s">
        <v>72</v>
      </c>
      <c r="C62" s="5">
        <v>1985</v>
      </c>
      <c r="D62" s="5">
        <v>491.2</v>
      </c>
      <c r="E62" s="5">
        <v>491.2</v>
      </c>
      <c r="F62" s="6">
        <f>F4/E77*E62+F3/E72*E62</f>
        <v>39794.103814839356</v>
      </c>
      <c r="G62" s="6">
        <v>0</v>
      </c>
      <c r="H62" s="6">
        <v>2084.2</v>
      </c>
      <c r="I62" s="75">
        <v>0</v>
      </c>
      <c r="J62" s="73">
        <v>0</v>
      </c>
      <c r="K62" s="6">
        <v>1250.14</v>
      </c>
      <c r="L62" s="6">
        <v>0</v>
      </c>
      <c r="M62" s="6">
        <f>M3/E72*E62</f>
        <v>28567.27441914566</v>
      </c>
      <c r="N62" s="6">
        <f t="shared" si="6"/>
        <v>15563.451103550553</v>
      </c>
      <c r="O62" s="7">
        <f t="shared" si="2"/>
        <v>71695.71823398501</v>
      </c>
      <c r="P62" s="10">
        <v>94119.36</v>
      </c>
      <c r="Q62" s="10">
        <v>83875.41</v>
      </c>
      <c r="R62" s="3">
        <f t="shared" si="5"/>
        <v>12179.691766014992</v>
      </c>
      <c r="S62" s="8" t="s">
        <v>132</v>
      </c>
    </row>
    <row r="63" spans="1:19" s="1" customFormat="1" ht="50.25" customHeight="1" thickBot="1">
      <c r="A63" s="4">
        <v>7</v>
      </c>
      <c r="B63" s="77" t="s">
        <v>73</v>
      </c>
      <c r="C63" s="5">
        <v>1966</v>
      </c>
      <c r="D63" s="5">
        <v>358.1</v>
      </c>
      <c r="E63" s="5">
        <v>358.1</v>
      </c>
      <c r="F63" s="6">
        <f>F4/E77*E63+F3/E72*E63</f>
        <v>29011.13309465386</v>
      </c>
      <c r="G63" s="6">
        <v>0</v>
      </c>
      <c r="H63" s="6">
        <v>3578.04</v>
      </c>
      <c r="I63" s="75">
        <v>0</v>
      </c>
      <c r="J63" s="73">
        <v>0</v>
      </c>
      <c r="K63" s="6">
        <v>1250.14</v>
      </c>
      <c r="L63" s="6">
        <v>0</v>
      </c>
      <c r="M63" s="6">
        <f>M3/E72*E63</f>
        <v>20826.427055162992</v>
      </c>
      <c r="N63" s="6">
        <f t="shared" si="6"/>
        <v>11346.237459652797</v>
      </c>
      <c r="O63" s="7">
        <f t="shared" si="2"/>
        <v>54665.74014981685</v>
      </c>
      <c r="P63" s="10">
        <v>69262.26</v>
      </c>
      <c r="Q63" s="10">
        <v>60443.34</v>
      </c>
      <c r="R63" s="3">
        <f t="shared" si="5"/>
        <v>5777.599850183149</v>
      </c>
      <c r="S63" s="8" t="s">
        <v>127</v>
      </c>
    </row>
    <row r="64" spans="1:19" s="1" customFormat="1" ht="50.25" customHeight="1" thickBot="1">
      <c r="A64" s="4">
        <v>8</v>
      </c>
      <c r="B64" s="77" t="s">
        <v>74</v>
      </c>
      <c r="C64" s="5">
        <v>1985</v>
      </c>
      <c r="D64" s="5">
        <v>485.2</v>
      </c>
      <c r="E64" s="5">
        <v>485.2</v>
      </c>
      <c r="F64" s="6">
        <f>F4/E77*E64+F3/E72*E64</f>
        <v>39308.01948485353</v>
      </c>
      <c r="G64" s="6">
        <v>0</v>
      </c>
      <c r="H64" s="6">
        <v>1113.4</v>
      </c>
      <c r="I64" s="75">
        <v>0</v>
      </c>
      <c r="J64" s="73">
        <v>0</v>
      </c>
      <c r="K64" s="6">
        <v>1250.14</v>
      </c>
      <c r="L64" s="6">
        <v>0</v>
      </c>
      <c r="M64" s="6">
        <f>M3/E72*E64</f>
        <v>28218.32562738085</v>
      </c>
      <c r="N64" s="6">
        <f t="shared" si="6"/>
        <v>15373.343801797086</v>
      </c>
      <c r="O64" s="7">
        <f t="shared" si="2"/>
        <v>69889.88511223439</v>
      </c>
      <c r="P64" s="10">
        <v>92978.58</v>
      </c>
      <c r="Q64" s="10">
        <v>70876.7</v>
      </c>
      <c r="R64" s="3">
        <f t="shared" si="5"/>
        <v>986.8148877656058</v>
      </c>
      <c r="S64" s="8" t="s">
        <v>131</v>
      </c>
    </row>
    <row r="65" spans="1:19" s="1" customFormat="1" ht="50.25" customHeight="1" thickBot="1">
      <c r="A65" s="4">
        <v>9</v>
      </c>
      <c r="B65" s="77" t="s">
        <v>75</v>
      </c>
      <c r="C65" s="5">
        <v>1962</v>
      </c>
      <c r="D65" s="22">
        <v>378</v>
      </c>
      <c r="E65" s="22">
        <v>41</v>
      </c>
      <c r="F65" s="6">
        <f>F4/E77*E65+F3/E72*E65</f>
        <v>3321.5762549031224</v>
      </c>
      <c r="G65" s="6">
        <v>0</v>
      </c>
      <c r="H65" s="6">
        <v>77.12</v>
      </c>
      <c r="I65" s="75">
        <v>0</v>
      </c>
      <c r="J65" s="73">
        <v>0</v>
      </c>
      <c r="K65" s="6">
        <v>135.33</v>
      </c>
      <c r="L65" s="6">
        <v>0</v>
      </c>
      <c r="M65" s="6">
        <f>M3/E72*E65</f>
        <v>2384.4834103928583</v>
      </c>
      <c r="N65" s="6">
        <f t="shared" si="6"/>
        <v>1299.066561982029</v>
      </c>
      <c r="O65" s="7">
        <f t="shared" si="2"/>
        <v>5918.50966529598</v>
      </c>
      <c r="P65" s="10">
        <v>7495.44</v>
      </c>
      <c r="Q65" s="10">
        <v>6572.3</v>
      </c>
      <c r="R65" s="3">
        <f t="shared" si="5"/>
        <v>653.7903347040201</v>
      </c>
      <c r="S65" s="17"/>
    </row>
    <row r="66" spans="1:19" s="1" customFormat="1" ht="50.25" customHeight="1" thickBot="1">
      <c r="A66" s="4">
        <v>10</v>
      </c>
      <c r="B66" s="77" t="s">
        <v>76</v>
      </c>
      <c r="C66" s="5">
        <v>1963</v>
      </c>
      <c r="D66" s="5">
        <v>362.7</v>
      </c>
      <c r="E66" s="5">
        <v>362.7</v>
      </c>
      <c r="F66" s="6">
        <f>F4/E77*E66+F3/E72*E66</f>
        <v>29383.797747642988</v>
      </c>
      <c r="G66" s="6">
        <v>0</v>
      </c>
      <c r="H66" s="6">
        <v>5219.08</v>
      </c>
      <c r="I66" s="75">
        <v>0</v>
      </c>
      <c r="J66" s="73">
        <v>0</v>
      </c>
      <c r="K66" s="6">
        <v>1250.14</v>
      </c>
      <c r="L66" s="6">
        <v>0</v>
      </c>
      <c r="M66" s="6">
        <f>M3/E72*E66</f>
        <v>21093.954462182675</v>
      </c>
      <c r="N66" s="6">
        <f t="shared" si="6"/>
        <v>11491.98639099712</v>
      </c>
      <c r="O66" s="7">
        <f t="shared" si="2"/>
        <v>56946.97220982566</v>
      </c>
      <c r="P66" s="10">
        <v>69170.16</v>
      </c>
      <c r="Q66" s="10">
        <v>38530.62</v>
      </c>
      <c r="R66" s="3">
        <f t="shared" si="5"/>
        <v>-18416.352209825658</v>
      </c>
      <c r="S66" s="17" t="s">
        <v>93</v>
      </c>
    </row>
    <row r="67" spans="1:19" s="1" customFormat="1" ht="50.25" customHeight="1" thickBot="1">
      <c r="A67" s="4">
        <v>11</v>
      </c>
      <c r="B67" s="77" t="s">
        <v>77</v>
      </c>
      <c r="C67" s="5">
        <v>1968</v>
      </c>
      <c r="D67" s="5">
        <v>361.7</v>
      </c>
      <c r="E67" s="5">
        <v>361.7</v>
      </c>
      <c r="F67" s="6">
        <f>F4/E77*E67+F3/E72*E67</f>
        <v>29302.78369264535</v>
      </c>
      <c r="G67" s="6">
        <v>0</v>
      </c>
      <c r="H67" s="6">
        <v>1158.12</v>
      </c>
      <c r="I67" s="75">
        <v>0</v>
      </c>
      <c r="J67" s="73">
        <v>0</v>
      </c>
      <c r="K67" s="6">
        <v>1250.14</v>
      </c>
      <c r="L67" s="6">
        <v>0</v>
      </c>
      <c r="M67" s="6">
        <f>M3/E72*E67</f>
        <v>21035.796330221874</v>
      </c>
      <c r="N67" s="6">
        <f t="shared" si="6"/>
        <v>11460.301840704877</v>
      </c>
      <c r="O67" s="7">
        <f t="shared" si="2"/>
        <v>52746.840022867225</v>
      </c>
      <c r="P67" s="10">
        <v>61744.67</v>
      </c>
      <c r="Q67" s="10">
        <v>70377.57</v>
      </c>
      <c r="R67" s="3">
        <f t="shared" si="5"/>
        <v>17630.72997713278</v>
      </c>
      <c r="S67" s="17" t="s">
        <v>92</v>
      </c>
    </row>
    <row r="68" spans="1:19" s="1" customFormat="1" ht="50.25" customHeight="1" thickBot="1">
      <c r="A68" s="4">
        <v>12</v>
      </c>
      <c r="B68" s="77" t="s">
        <v>78</v>
      </c>
      <c r="C68" s="5">
        <v>1969</v>
      </c>
      <c r="D68" s="22">
        <v>336</v>
      </c>
      <c r="E68" s="22">
        <v>336</v>
      </c>
      <c r="F68" s="6">
        <f>F4/E77*E68+F3/E72*E68</f>
        <v>27220.722479206077</v>
      </c>
      <c r="G68" s="6">
        <v>0</v>
      </c>
      <c r="H68" s="6">
        <v>3800.96</v>
      </c>
      <c r="I68" s="75">
        <v>0</v>
      </c>
      <c r="J68" s="73">
        <v>0</v>
      </c>
      <c r="K68" s="6">
        <v>1250.14</v>
      </c>
      <c r="L68" s="6">
        <v>0</v>
      </c>
      <c r="M68" s="6">
        <f>M3/E72*E68</f>
        <v>19541.13233882928</v>
      </c>
      <c r="N68" s="6">
        <f t="shared" si="6"/>
        <v>10646.008898194192</v>
      </c>
      <c r="O68" s="7">
        <f t="shared" si="2"/>
        <v>51812.95481803536</v>
      </c>
      <c r="P68" s="10">
        <v>67123.86</v>
      </c>
      <c r="Q68" s="10">
        <v>74746.4</v>
      </c>
      <c r="R68" s="3">
        <f t="shared" si="5"/>
        <v>22933.445181964635</v>
      </c>
      <c r="S68" s="8" t="s">
        <v>123</v>
      </c>
    </row>
    <row r="69" spans="1:19" s="1" customFormat="1" ht="50.25" customHeight="1" thickBot="1">
      <c r="A69" s="4">
        <v>13</v>
      </c>
      <c r="B69" s="77" t="s">
        <v>79</v>
      </c>
      <c r="C69" s="5">
        <v>1971</v>
      </c>
      <c r="D69" s="22">
        <v>750.2</v>
      </c>
      <c r="E69" s="22">
        <v>750.2</v>
      </c>
      <c r="F69" s="6">
        <f>F4/E77*E69+F3/E72*E69</f>
        <v>60776.74405922738</v>
      </c>
      <c r="G69" s="6">
        <v>0</v>
      </c>
      <c r="H69" s="6">
        <v>10270.63</v>
      </c>
      <c r="I69" s="75">
        <v>0</v>
      </c>
      <c r="J69" s="73">
        <v>0</v>
      </c>
      <c r="K69" s="6">
        <v>2460.88</v>
      </c>
      <c r="L69" s="6">
        <v>0</v>
      </c>
      <c r="M69" s="6">
        <f>M3/E72*E69</f>
        <v>43630.230596993235</v>
      </c>
      <c r="N69" s="6">
        <f t="shared" si="6"/>
        <v>23769.749629241913</v>
      </c>
      <c r="O69" s="7">
        <f t="shared" si="2"/>
        <v>117138.48465622062</v>
      </c>
      <c r="P69" s="10">
        <v>139979.12</v>
      </c>
      <c r="Q69" s="10">
        <v>67530.37</v>
      </c>
      <c r="R69" s="3">
        <f t="shared" si="5"/>
        <v>-49608.11465622063</v>
      </c>
      <c r="S69" s="8" t="s">
        <v>128</v>
      </c>
    </row>
    <row r="70" spans="1:19" s="1" customFormat="1" ht="50.25" customHeight="1" thickBot="1">
      <c r="A70" s="4">
        <v>14</v>
      </c>
      <c r="B70" s="77" t="s">
        <v>80</v>
      </c>
      <c r="C70" s="5">
        <v>1979</v>
      </c>
      <c r="D70" s="5">
        <v>810.2</v>
      </c>
      <c r="E70" s="5">
        <v>810.2</v>
      </c>
      <c r="F70" s="6">
        <f>F4/E77*E70+F3/E72*E70</f>
        <v>65637.5873590856</v>
      </c>
      <c r="G70" s="6">
        <v>0</v>
      </c>
      <c r="H70" s="6">
        <v>14132.31</v>
      </c>
      <c r="I70" s="75">
        <v>0</v>
      </c>
      <c r="J70" s="73">
        <v>0</v>
      </c>
      <c r="K70" s="6">
        <v>2524.55</v>
      </c>
      <c r="L70" s="6">
        <v>0</v>
      </c>
      <c r="M70" s="6">
        <f>M3/E72*E70</f>
        <v>47119.71851464132</v>
      </c>
      <c r="N70" s="6">
        <f t="shared" si="6"/>
        <v>25670.82264677659</v>
      </c>
      <c r="O70" s="7">
        <f t="shared" si="2"/>
        <v>129414.16587372692</v>
      </c>
      <c r="P70" s="10">
        <v>148386.84</v>
      </c>
      <c r="Q70" s="10">
        <v>138405.45</v>
      </c>
      <c r="R70" s="3">
        <f t="shared" si="5"/>
        <v>8991.284126273094</v>
      </c>
      <c r="S70" s="17" t="s">
        <v>91</v>
      </c>
    </row>
    <row r="71" spans="1:19" s="1" customFormat="1" ht="50.25" customHeight="1" thickBot="1">
      <c r="A71" s="4">
        <v>15</v>
      </c>
      <c r="B71" s="77" t="s">
        <v>81</v>
      </c>
      <c r="C71" s="5">
        <v>1979</v>
      </c>
      <c r="D71" s="5">
        <v>810.2</v>
      </c>
      <c r="E71" s="5">
        <v>810.2</v>
      </c>
      <c r="F71" s="6">
        <f>F4/E77*E71+F3/E72*E71</f>
        <v>65637.5873590856</v>
      </c>
      <c r="G71" s="6">
        <v>0</v>
      </c>
      <c r="H71" s="6">
        <v>1753.56</v>
      </c>
      <c r="I71" s="6">
        <v>2125</v>
      </c>
      <c r="J71" s="73">
        <v>0</v>
      </c>
      <c r="K71" s="6">
        <v>2524.54</v>
      </c>
      <c r="L71" s="6">
        <v>0</v>
      </c>
      <c r="M71" s="6">
        <f>M3/E72*E71</f>
        <v>47119.71851464132</v>
      </c>
      <c r="N71" s="6">
        <f t="shared" si="6"/>
        <v>25670.82264677659</v>
      </c>
      <c r="O71" s="7">
        <f t="shared" si="2"/>
        <v>119160.40587372691</v>
      </c>
      <c r="P71" s="10">
        <v>132381.66</v>
      </c>
      <c r="Q71" s="10">
        <v>104555.68</v>
      </c>
      <c r="R71" s="3">
        <f t="shared" si="5"/>
        <v>-14604.725873726915</v>
      </c>
      <c r="S71" s="8" t="s">
        <v>107</v>
      </c>
    </row>
    <row r="72" spans="1:19" s="1" customFormat="1" ht="50.25" customHeight="1" thickBot="1">
      <c r="A72" s="26"/>
      <c r="B72" s="77" t="s">
        <v>38</v>
      </c>
      <c r="C72" s="27"/>
      <c r="D72" s="28">
        <f>SUM(D57:D71)</f>
        <v>7214.799999999999</v>
      </c>
      <c r="E72" s="28">
        <f>SUM(E57:E71)</f>
        <v>6877.799999999999</v>
      </c>
      <c r="F72" s="3">
        <f>SUM(F57:F71)</f>
        <v>557198.4674627488</v>
      </c>
      <c r="G72" s="3">
        <f aca="true" t="shared" si="7" ref="G72:R72">SUM(G57:G71)</f>
        <v>0</v>
      </c>
      <c r="H72" s="3">
        <f>SUM(H57:H71)</f>
        <v>41478.369999999995</v>
      </c>
      <c r="I72" s="3">
        <f t="shared" si="7"/>
        <v>7932.39</v>
      </c>
      <c r="J72" s="74">
        <f t="shared" si="7"/>
        <v>11701.19</v>
      </c>
      <c r="K72" s="3">
        <f t="shared" si="7"/>
        <v>21396.84</v>
      </c>
      <c r="L72" s="3">
        <f t="shared" si="7"/>
        <v>0</v>
      </c>
      <c r="M72" s="3">
        <f t="shared" si="7"/>
        <v>400000.0000000001</v>
      </c>
      <c r="N72" s="3">
        <f t="shared" si="7"/>
        <v>217920.00000000003</v>
      </c>
      <c r="O72" s="3">
        <f>SUM(O57:O71)</f>
        <v>1039707.2574627488</v>
      </c>
      <c r="P72" s="3">
        <f>SUM(P57:P71)</f>
        <v>1255849.71</v>
      </c>
      <c r="Q72" s="3">
        <f>SUM(Q57:Q71)</f>
        <v>1041924.98</v>
      </c>
      <c r="R72" s="3">
        <f t="shared" si="7"/>
        <v>2217.722537251313</v>
      </c>
      <c r="S72" s="17"/>
    </row>
    <row r="73" spans="1:20" s="1" customFormat="1" ht="50.25" customHeight="1" thickBot="1">
      <c r="A73" s="4" t="s">
        <v>2</v>
      </c>
      <c r="B73" s="77" t="s">
        <v>150</v>
      </c>
      <c r="C73" s="5">
        <v>1966</v>
      </c>
      <c r="D73" s="22">
        <v>434.8</v>
      </c>
      <c r="E73" s="22">
        <v>434.8</v>
      </c>
      <c r="F73" s="6">
        <f>F4/E77*E73</f>
        <v>35224.91111297262</v>
      </c>
      <c r="G73" s="6">
        <v>0</v>
      </c>
      <c r="H73" s="6">
        <v>14926.12</v>
      </c>
      <c r="I73" s="75">
        <v>0</v>
      </c>
      <c r="J73" s="73">
        <v>0</v>
      </c>
      <c r="K73" s="6">
        <v>1628.82</v>
      </c>
      <c r="L73" s="6">
        <v>0</v>
      </c>
      <c r="M73" s="6">
        <f>M2/E76*E73</f>
        <v>32909.35619186577</v>
      </c>
      <c r="N73" s="6">
        <f>M73*54.5%</f>
        <v>17935.59912456685</v>
      </c>
      <c r="O73" s="6">
        <f>SUM(F73:M73)</f>
        <v>84689.2073048384</v>
      </c>
      <c r="P73" s="6">
        <v>68989.68</v>
      </c>
      <c r="Q73" s="6">
        <v>51067.93</v>
      </c>
      <c r="R73" s="2">
        <f>Q73-O73</f>
        <v>-33621.277304838404</v>
      </c>
      <c r="S73" s="8" t="s">
        <v>135</v>
      </c>
      <c r="T73" s="9" t="s">
        <v>134</v>
      </c>
    </row>
    <row r="74" spans="1:19" s="1" customFormat="1" ht="50.25" customHeight="1" thickBot="1">
      <c r="A74" s="4">
        <v>2</v>
      </c>
      <c r="B74" s="77" t="s">
        <v>152</v>
      </c>
      <c r="C74" s="5">
        <v>1956</v>
      </c>
      <c r="D74" s="5">
        <v>380.7</v>
      </c>
      <c r="E74" s="5">
        <v>380.7</v>
      </c>
      <c r="F74" s="6">
        <f>F4/E77*E74</f>
        <v>30842.050737600453</v>
      </c>
      <c r="G74" s="6">
        <v>0</v>
      </c>
      <c r="H74" s="6">
        <v>5730.24</v>
      </c>
      <c r="I74" s="75">
        <v>0</v>
      </c>
      <c r="J74" s="73">
        <v>0</v>
      </c>
      <c r="K74" s="6">
        <v>1210.72</v>
      </c>
      <c r="L74" s="6">
        <v>0</v>
      </c>
      <c r="M74" s="6">
        <f>M2/E76*E74</f>
        <v>28814.608790807953</v>
      </c>
      <c r="N74" s="6">
        <f>M74*54.5%</f>
        <v>15703.961790990335</v>
      </c>
      <c r="O74" s="6">
        <f>SUM(F74:M74)</f>
        <v>66597.61952840841</v>
      </c>
      <c r="P74" s="6">
        <v>67716.57</v>
      </c>
      <c r="Q74" s="6">
        <v>51123.04</v>
      </c>
      <c r="R74" s="2">
        <f>Q74-O74</f>
        <v>-15474.579528408409</v>
      </c>
      <c r="S74" s="8" t="s">
        <v>136</v>
      </c>
    </row>
    <row r="75" spans="1:19" s="1" customFormat="1" ht="50.25" customHeight="1" thickBot="1">
      <c r="A75" s="4">
        <v>3</v>
      </c>
      <c r="B75" s="77" t="s">
        <v>151</v>
      </c>
      <c r="C75" s="5">
        <v>1962</v>
      </c>
      <c r="D75" s="5">
        <v>281.1</v>
      </c>
      <c r="E75" s="5">
        <v>281.1</v>
      </c>
      <c r="F75" s="6">
        <f>F4/E77*E75</f>
        <v>22773.0508598358</v>
      </c>
      <c r="G75" s="6">
        <v>0</v>
      </c>
      <c r="H75" s="6">
        <v>850.67</v>
      </c>
      <c r="I75" s="75">
        <v>0</v>
      </c>
      <c r="J75" s="73">
        <v>0</v>
      </c>
      <c r="K75" s="6">
        <v>1210.72</v>
      </c>
      <c r="L75" s="6">
        <v>0</v>
      </c>
      <c r="M75" s="6">
        <f>M2/E76*E75</f>
        <v>21276.035017326285</v>
      </c>
      <c r="N75" s="6">
        <f>M75*54.5%</f>
        <v>11595.439084442825</v>
      </c>
      <c r="O75" s="6">
        <f>SUM(F75:M75)</f>
        <v>46110.47587716208</v>
      </c>
      <c r="P75" s="6">
        <v>44473.62</v>
      </c>
      <c r="Q75" s="6">
        <v>38934.44</v>
      </c>
      <c r="R75" s="2">
        <f>Q75-O75</f>
        <v>-7176.035877162081</v>
      </c>
      <c r="S75" s="8" t="s">
        <v>133</v>
      </c>
    </row>
    <row r="76" spans="1:19" s="1" customFormat="1" ht="50.25" customHeight="1" thickBot="1">
      <c r="A76" s="26"/>
      <c r="B76" s="77" t="s">
        <v>38</v>
      </c>
      <c r="C76" s="27"/>
      <c r="D76" s="28">
        <f>SUM(D73:D75)</f>
        <v>1096.6</v>
      </c>
      <c r="E76" s="28">
        <f aca="true" t="shared" si="8" ref="E76:R76">SUM(E73:E75)</f>
        <v>1096.6</v>
      </c>
      <c r="F76" s="3">
        <f t="shared" si="8"/>
        <v>88840.01271040888</v>
      </c>
      <c r="G76" s="3">
        <f t="shared" si="8"/>
        <v>0</v>
      </c>
      <c r="H76" s="3">
        <f t="shared" si="8"/>
        <v>21507.03</v>
      </c>
      <c r="I76" s="3">
        <f t="shared" si="8"/>
        <v>0</v>
      </c>
      <c r="J76" s="74">
        <f t="shared" si="8"/>
        <v>0</v>
      </c>
      <c r="K76" s="3">
        <f t="shared" si="8"/>
        <v>4050.26</v>
      </c>
      <c r="L76" s="3">
        <f t="shared" si="8"/>
        <v>0</v>
      </c>
      <c r="M76" s="3">
        <f t="shared" si="8"/>
        <v>83000.00000000001</v>
      </c>
      <c r="N76" s="3">
        <f t="shared" si="8"/>
        <v>45235.000000000015</v>
      </c>
      <c r="O76" s="3">
        <f t="shared" si="8"/>
        <v>197397.30271040887</v>
      </c>
      <c r="P76" s="3">
        <f t="shared" si="8"/>
        <v>181179.87</v>
      </c>
      <c r="Q76" s="3">
        <f t="shared" si="8"/>
        <v>141125.41</v>
      </c>
      <c r="R76" s="3">
        <f t="shared" si="8"/>
        <v>-56271.892710408894</v>
      </c>
      <c r="S76" s="29"/>
    </row>
    <row r="77" spans="1:19" s="1" customFormat="1" ht="50.25" customHeight="1" thickBot="1">
      <c r="A77" s="30">
        <v>61</v>
      </c>
      <c r="B77" s="77" t="s">
        <v>82</v>
      </c>
      <c r="C77" s="31"/>
      <c r="D77" s="32">
        <f>D76+D72+D56</f>
        <v>73918.3</v>
      </c>
      <c r="E77" s="32">
        <f>E76+E72+E56</f>
        <v>72581.3</v>
      </c>
      <c r="F77" s="32">
        <f aca="true" t="shared" si="9" ref="F77:R77">F76+F72+F56</f>
        <v>5880105.43</v>
      </c>
      <c r="G77" s="32">
        <f t="shared" si="9"/>
        <v>4193888.264236673</v>
      </c>
      <c r="H77" s="32">
        <f t="shared" si="9"/>
        <v>707339.3100000002</v>
      </c>
      <c r="I77" s="32">
        <f t="shared" si="9"/>
        <v>183240.01</v>
      </c>
      <c r="J77" s="74">
        <f t="shared" si="9"/>
        <v>240659.05</v>
      </c>
      <c r="K77" s="32">
        <f t="shared" si="9"/>
        <v>180615.54</v>
      </c>
      <c r="L77" s="32">
        <f t="shared" si="9"/>
        <v>43920</v>
      </c>
      <c r="M77" s="32">
        <f t="shared" si="9"/>
        <v>3549049.999999999</v>
      </c>
      <c r="N77" s="32">
        <f t="shared" si="9"/>
        <v>1933539.0399999993</v>
      </c>
      <c r="O77" s="32">
        <f t="shared" si="9"/>
        <v>14978817.604236672</v>
      </c>
      <c r="P77" s="32">
        <f t="shared" si="9"/>
        <v>15045430.339999994</v>
      </c>
      <c r="Q77" s="32">
        <f t="shared" si="9"/>
        <v>14376988.190000003</v>
      </c>
      <c r="R77" s="32">
        <f t="shared" si="9"/>
        <v>-601829.414236673</v>
      </c>
      <c r="S77" s="33"/>
    </row>
    <row r="78" spans="1:19" ht="50.25" customHeight="1">
      <c r="A78" s="97" t="s">
        <v>65</v>
      </c>
      <c r="B78" s="97"/>
      <c r="C78" s="97"/>
      <c r="D78" s="97"/>
      <c r="E78" s="97"/>
      <c r="F78" s="97"/>
      <c r="G78" s="97"/>
      <c r="H78" s="97"/>
      <c r="I78" s="97"/>
      <c r="J78" s="98"/>
      <c r="K78" s="97"/>
      <c r="L78" s="97"/>
      <c r="M78" s="97"/>
      <c r="N78" s="97"/>
      <c r="O78" s="97"/>
      <c r="P78" s="97"/>
      <c r="Q78" s="97"/>
      <c r="R78" s="97"/>
      <c r="S78" s="97"/>
    </row>
    <row r="79" spans="1:5" ht="34.5" customHeight="1">
      <c r="A79" s="39" t="s">
        <v>144</v>
      </c>
      <c r="B79" s="40"/>
      <c r="C79" s="41"/>
      <c r="D79" s="41"/>
      <c r="E79" s="42"/>
    </row>
    <row r="80" spans="1:5" ht="34.5" customHeight="1">
      <c r="A80" s="39" t="s">
        <v>94</v>
      </c>
      <c r="B80" s="40"/>
      <c r="C80" s="41"/>
      <c r="D80" s="41"/>
      <c r="E80" s="42"/>
    </row>
    <row r="81" spans="1:5" ht="51.75" customHeight="1">
      <c r="A81" s="39" t="s">
        <v>143</v>
      </c>
      <c r="B81" s="40"/>
      <c r="C81" s="41"/>
      <c r="D81" s="41"/>
      <c r="E81" s="42"/>
    </row>
    <row r="82" spans="1:5" ht="51.75" customHeight="1">
      <c r="A82" s="43"/>
      <c r="B82" s="40"/>
      <c r="C82" s="41"/>
      <c r="D82" s="41"/>
      <c r="E82" s="42"/>
    </row>
    <row r="83" spans="1:5" ht="51.75" customHeight="1">
      <c r="A83" s="44"/>
      <c r="B83" s="45"/>
      <c r="C83" s="46"/>
      <c r="D83" s="46"/>
      <c r="E83" s="47"/>
    </row>
    <row r="84" spans="2:5" ht="51.75" customHeight="1">
      <c r="B84" s="48"/>
      <c r="C84" s="48"/>
      <c r="D84" s="48"/>
      <c r="E84" s="48"/>
    </row>
    <row r="85" spans="2:5" ht="51.75" customHeight="1">
      <c r="B85" s="48"/>
      <c r="C85" s="48"/>
      <c r="D85" s="48"/>
      <c r="E85" s="48"/>
    </row>
  </sheetData>
  <sheetProtection/>
  <mergeCells count="22">
    <mergeCell ref="A78:S78"/>
    <mergeCell ref="C10:C11"/>
    <mergeCell ref="E10:E11"/>
    <mergeCell ref="P10:P11"/>
    <mergeCell ref="Q10:Q11"/>
    <mergeCell ref="K10:K11"/>
    <mergeCell ref="B10:B11"/>
    <mergeCell ref="O10:O11"/>
    <mergeCell ref="I10:I11"/>
    <mergeCell ref="F10:F11"/>
    <mergeCell ref="J10:J11"/>
    <mergeCell ref="M10:N10"/>
    <mergeCell ref="S8:S11"/>
    <mergeCell ref="A8:R8"/>
    <mergeCell ref="A9:E9"/>
    <mergeCell ref="D10:D11"/>
    <mergeCell ref="A10:A11"/>
    <mergeCell ref="R10:R11"/>
    <mergeCell ref="G10:G11"/>
    <mergeCell ref="L10:L11"/>
    <mergeCell ref="H10:H11"/>
    <mergeCell ref="F9:R9"/>
  </mergeCells>
  <printOptions/>
  <pageMargins left="0.1968503937007874" right="0" top="0.15748031496062992" bottom="0.1968503937007874" header="0" footer="0"/>
  <pageSetup horizontalDpi="600" verticalDpi="600" orientation="portrait" paperSize="9" scale="75" r:id="rId1"/>
  <rowBreaks count="1" manualBreakCount="1">
    <brk id="77" max="16" man="1"/>
  </rowBreaks>
  <colBreaks count="1" manualBreakCount="1">
    <brk id="1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Buch</cp:lastModifiedBy>
  <cp:lastPrinted>2021-03-29T11:42:24Z</cp:lastPrinted>
  <dcterms:created xsi:type="dcterms:W3CDTF">2011-01-17T06:18:12Z</dcterms:created>
  <dcterms:modified xsi:type="dcterms:W3CDTF">2022-03-23T07:37:45Z</dcterms:modified>
  <cp:category/>
  <cp:version/>
  <cp:contentType/>
  <cp:contentStatus/>
</cp:coreProperties>
</file>