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Area" localSheetId="0">'Sheet1'!$A$1:$Q$77</definedName>
  </definedNames>
  <calcPr fullCalcOnLoad="1"/>
</workbook>
</file>

<file path=xl/sharedStrings.xml><?xml version="1.0" encoding="utf-8"?>
<sst xmlns="http://schemas.openxmlformats.org/spreadsheetml/2006/main" count="164" uniqueCount="161">
  <si>
    <t>Наименование объекта, адрес расположения объекта</t>
  </si>
  <si>
    <t>Год ввода в эксплуатацию</t>
  </si>
  <si>
    <t>l</t>
  </si>
  <si>
    <t>16-ти квартирный жилой дом №6, ул.Гагарина</t>
  </si>
  <si>
    <t>12-ти квартирный жилой дом №14, ул.Каменка</t>
  </si>
  <si>
    <t>18-ти квартирный жилой дом №1а, ул.Коммунистическая</t>
  </si>
  <si>
    <t>100- квартирный жилой дом №18, ул. Красноармейская</t>
  </si>
  <si>
    <t>18-ти квартирный жилой дом №35, ул. Ленина</t>
  </si>
  <si>
    <t>22-ти квартирный жилой дом №8, ул.Гагарина</t>
  </si>
  <si>
    <t>12-ти квартирный жилой дом №10, ул.Каменка</t>
  </si>
  <si>
    <t>80-ти квартирный жилой дом №13, ул.Каменка</t>
  </si>
  <si>
    <t>80-ти квартирный жилой дом №15, ул. Каменка</t>
  </si>
  <si>
    <t>18-ти квартирный жилой дом №1б, ул.Коммунистическая</t>
  </si>
  <si>
    <t>16-ти квартирный жилой дом №43, ул. Ленина</t>
  </si>
  <si>
    <t>16-ти квартирный жилой дом №45, ул. Ленина</t>
  </si>
  <si>
    <t>16-ти квартирный жилой дом №47, ул.Ленина</t>
  </si>
  <si>
    <t>18-ти квартирный жилой дом №50 ул. Ленина</t>
  </si>
  <si>
    <t xml:space="preserve">18-ти квартирный жилой дом №52, ул.Ленина </t>
  </si>
  <si>
    <t>90-о квартирный жилой дом №53, ул.Ленина</t>
  </si>
  <si>
    <t>18-ти квартирный жилой дом № 54, ул.Ленина</t>
  </si>
  <si>
    <t>60-ти квартирный жилой дом №55, ул.Ленина</t>
  </si>
  <si>
    <t>18-ти квартирный жилой дом №56, ул.Ленина</t>
  </si>
  <si>
    <t>58-ти квартирный жилой дом №57, ул.Ленина</t>
  </si>
  <si>
    <t>18-ти квартирный жилой дом №60, ул.Ленина</t>
  </si>
  <si>
    <t>18-ти квартирный жилой дом №62, ул.Ленина</t>
  </si>
  <si>
    <t>18-ти квартирный жилой дом № 64, ул.Ленина</t>
  </si>
  <si>
    <t>8-ми- квартирный жилой дом №3, ул.Октябрьская</t>
  </si>
  <si>
    <t>11-ти квартирный жилой дом №16, ул.Октябрьская</t>
  </si>
  <si>
    <t>12-ти квартирный жилой дом №2, пер. Предбазарный</t>
  </si>
  <si>
    <t>16-ти квартирный жилой дом №24, ул.Советская</t>
  </si>
  <si>
    <t>8-ми квартирный жилой дом №1, ул.Социалистическая</t>
  </si>
  <si>
    <t>80-ти квартирный жилой дом №3, ул.Социалистическая</t>
  </si>
  <si>
    <t>18-ти квартирный жилой дом № 5А, ул.Социалистическая</t>
  </si>
  <si>
    <t>18-ти квартирный жилой дом № 7А, ул.Социалистическая</t>
  </si>
  <si>
    <t>18-ти квартирный жилой дом №9, ул.Социалистическая</t>
  </si>
  <si>
    <t>79-ти квартирный жилой дом №11, ул.Социалистическая</t>
  </si>
  <si>
    <t xml:space="preserve">80-ти квартирный жилой дом №4, ул.Школьная </t>
  </si>
  <si>
    <t>18-ти квартирный жилой дом № 6, ул.Школьная</t>
  </si>
  <si>
    <t>Итого по многоквартирным жилым домам:</t>
  </si>
  <si>
    <t xml:space="preserve">8-ми- квартирный жилой дом №2А, ул.Марьинская </t>
  </si>
  <si>
    <t>60-ти квартирный жилой дом №33, ул. Ленина</t>
  </si>
  <si>
    <t>4-х квартирный жилой дом №37, ул. Ленина</t>
  </si>
  <si>
    <t>51- квартирный жилой дом № 25, ул. Красноармейская</t>
  </si>
  <si>
    <t>33-х квартирный жилой дом № 63, ул.Ленина</t>
  </si>
  <si>
    <t>12-ти квартирный жилой дом N 68, ул.Ленина</t>
  </si>
  <si>
    <t>Обслуживание фасадных и внутренних газопроводов</t>
  </si>
  <si>
    <t>площадь  газа</t>
  </si>
  <si>
    <t>площадь убир двор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</si>
  <si>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</si>
  <si>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</si>
  <si>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</si>
  <si>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Выборочн. ремонт кровли 180 кв.м - 62860,76р.;          Кап.рем. кровли 525 кв.м - 428300,0р.</t>
  </si>
  <si>
    <t xml:space="preserve">Установка козырьков - 13400р.;                              </t>
  </si>
  <si>
    <t>Установка дверного блока и козырька - 25000р.</t>
  </si>
  <si>
    <t>Установка 2-х дверных блоков - 37387,20р.</t>
  </si>
  <si>
    <t>Установка козырьков - 29080р.;                                       Установка 4-х дверных  блоков - 32000р.;                                  Замена перил - 59500р.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</si>
  <si>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</si>
  <si>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</si>
  <si>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</si>
  <si>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</si>
  <si>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</si>
  <si>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</si>
  <si>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</si>
  <si>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</si>
  <si>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</si>
  <si>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</si>
  <si>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</si>
  <si>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Итого по многоквартирным жилым домам п. Кардымово:</t>
  </si>
  <si>
    <t>8-ми квартирный жилой дом № 3 , ул. Магистральная</t>
  </si>
  <si>
    <t>8-ми квартирный жилой дом № 2 , ул. Магистральная</t>
  </si>
  <si>
    <t>8-ми квартирный жилой дом № 4 , ул. Магистральная</t>
  </si>
  <si>
    <t>8-ми квартирный жилой дом № 9 , ул. Магистральная</t>
  </si>
  <si>
    <t>8-ми квартирный жилой дом № 10 , ул. Магистральная</t>
  </si>
  <si>
    <t>8-ми квартирный жилой дом № 4, ул. Садовая</t>
  </si>
  <si>
    <t>8-ми квартирный жилой дом № 1, ул. Садовая</t>
  </si>
  <si>
    <t>8-ми квартирный жилой дом № 5, ул. Садовая</t>
  </si>
  <si>
    <t>8-ми квартирный жилой дом № 1, ул. Школьная</t>
  </si>
  <si>
    <t>8-ми квартирный жилой дом № 3, ул. Школьная</t>
  </si>
  <si>
    <t>8-ми квартирный жилой дом № 16, ул. Центральная</t>
  </si>
  <si>
    <t>8-ми квартирный жилой дом № 14, ул. Центральная</t>
  </si>
  <si>
    <t>16-ти квартирный жилой дом № 6/2, ул. Магистральная</t>
  </si>
  <si>
    <t>18-ти квартирный жилой дом № 7, ул. Магистральная</t>
  </si>
  <si>
    <t>18-ти квартирный жилой дом № 8, ул. Магистральная</t>
  </si>
  <si>
    <t>12-ти квартирный жилой дом № 31 , ул. Льнозаводская</t>
  </si>
  <si>
    <t>18-ти квартирный жилой дом № 14 , ул. Школа-интернат</t>
  </si>
  <si>
    <t>18-ти квартирный жилой дом № 15 , ул. Школа-интернат</t>
  </si>
  <si>
    <t>Всего по МКД, находящимся в управлении:</t>
  </si>
  <si>
    <t>Кап. ремонт кровли 838 кв.м - 399522р.;                            Установка 3-х дверн.блоков - 62700р.</t>
  </si>
  <si>
    <t>Кап. ремонт кровли 806 кв.м - 302134р.;                                                                      Установка 2-х  дверных блоков - 37387,20р.</t>
  </si>
  <si>
    <t>Кап. ремонт кровли 806 кв.м - 427924р.;                                                 Установка 2-х дверных блоков - 37387,20р.</t>
  </si>
  <si>
    <t>Кап. ремонт кровли 610 кв.м - 326703р.;                                  Установка 2-х дверных блоков - 26240р.</t>
  </si>
  <si>
    <t>Кап. ремонт кровли 389 кв.м - 184650р.;                                                                   Установка дверного блока - 18693,60р.</t>
  </si>
  <si>
    <t>Кап. ремонт кровли 1326 кв.м - 554212р.;                                Установка 4-х дверных   блоков - 62800р.;                               Ремонт межпанельных стыков 158п/м - 50503р.;                                    Установка коллективной антенны - 39000р.</t>
  </si>
  <si>
    <t>Кап. ремонт кровли 830 кв.м - 372270р.;                       Установка 3-х дверных блоков - 39000р.</t>
  </si>
  <si>
    <t>Установка железной двери с доводчиком-10900руб. Кап. ремонт кровли 362м² - 227533руб.</t>
  </si>
  <si>
    <t>Установка 3х железных дверей - 45000 руб</t>
  </si>
  <si>
    <t>Установка 2х железных дверей с доводч.- 27400 р.</t>
  </si>
  <si>
    <r>
      <t>Установка 2х железных дверей с доводч.- 27400р. Кап. ремонт кровли 380м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- 194539р.</t>
    </r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</si>
  <si>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</si>
  <si>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каменка</t>
  </si>
  <si>
    <t xml:space="preserve"> Установка дверных 4-х  блоков - 30000р.                                    Ремонт межпанельных швов 450 м.п.   - 361180р.                         </t>
  </si>
  <si>
    <t>Установка дверного блока - 33350р.                                            Ремонт кровли 350 кв.м - 258270 р.</t>
  </si>
  <si>
    <t>Установка дверных 4-х  блоков - 30000р.                         Ремонт межпанельных швов 450 м.п. - 361180р.</t>
  </si>
  <si>
    <t xml:space="preserve">Установка дверных 4-х  блоков - 30000р.;                                                             Выборочный ремонт кровли 143 кв.м - 36528р.                        Ремонт межпанельных швов 450 п/м -361181руб.             Ремонт кровли  342 кв.м. - 402280 р.                </t>
  </si>
  <si>
    <t>Выборочный ремонт кровли 288 кв.м - 77680р.;                                                       Установка 3-х дверных блоков - 43410р.                                             Ремонт кровли 1094кв.м.- 816080р.</t>
  </si>
  <si>
    <t>Выборочный ремонт кровли 30 кв.м - 30100р.;                               Выборочный ремонт кровли 59 кв.м - 38330р                                        Замена 2-х дверных блоков - 28891р.                                   Ремонт кровли 622 кв.м.- 485580р.</t>
  </si>
  <si>
    <t>Установка 4-х дверных блоков - 92600р.                               Ремонт кровли козырьков балконов 3,6кв.м. - 5180р.</t>
  </si>
  <si>
    <t>Ремонт кровли 750 кв.м - 352885р.                                 Установка 3-х дверных блоков - 49800р</t>
  </si>
  <si>
    <t>Установка  4-х дверных блоков - 82100р.;                                               Выборочный ремонт кровли 350 кв.м - 80225р.;                                Ремонт межпанельных стыков 56 п/м - 17900р.                     Кап.ремнт кровли 1360,0м.2. - 1169264руб.</t>
  </si>
  <si>
    <t>Установка железной двери-  15000руб.                                            Замена козырька-  7590руб.                                                     Кап. ремонт кровли 365м² - 186768р.</t>
  </si>
  <si>
    <t xml:space="preserve"> </t>
  </si>
  <si>
    <t>Установка железных дверей - 36500 р.                                   Кап. ремонт кровли - 381189 р.</t>
  </si>
  <si>
    <t>Кап. ремонт кровли 1321кв.м - 640643р.;                                      Установка 4-х дверных блоков - 58000р.                                              Ремонт кровли козырьков балконов 3,6кв.м. - 3570р.</t>
  </si>
  <si>
    <t>Кап. ремонт кровли 1321кв.м - 606284р.;                         Установка 4-х  дверных блоков - 60000р.                                Ремонт межпанельных швов 1740 м.п  -1460670р.                 Ремонт кровли козырьков балконов 2,6кв.м. - 3490р.</t>
  </si>
  <si>
    <t>Установка 3-х дверных блоков - 39360р.;                             Кап. ремонт кровли 809 кв.м - 398400р.                                                                         Доработка дверей 3шт -  29700р.</t>
  </si>
  <si>
    <t>Установка козырька и 2-х  дверных блоков -39300р.                                     Ремонт кровли 609 кв.м. - 591490р.                                   Доработка дверей  2шт.-19800р.</t>
  </si>
  <si>
    <r>
      <t>Кап. 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                                                        Доработка дверей 1шт.- 6000р.</t>
    </r>
  </si>
  <si>
    <t>Кап. ремонт кровли 721 кв.м - 311810,49р.;                                          Замена дверного блока - 11400р.;                               Установка окон 3шт. -27291р.</t>
  </si>
  <si>
    <t>Кап. ремонт кровли 750 кв.м - 321000р.;                                  Установка дверного блока - 17000р.                                     Установка окон 3шт. -27291р</t>
  </si>
  <si>
    <t>Кап. ремонт кровли 730 кв.м - 330000р.;                                                                   Установка дверного блока - 17000р.                                       Установка окон 3шт. -27291р</t>
  </si>
  <si>
    <t>Кап. ремонт кровли 740 кв.м - 543200р.                                                                   Установка окон 3шт. -27291р</t>
  </si>
  <si>
    <t>Капитальный ремонт отмостки - 85393р.                                   Кап.ремонт кровли740кв.м. - 688433руб.                                                             Установка окон 3шт. -27291р</t>
  </si>
  <si>
    <t>Выборочный ремонт кровли 150кв.м. -111567руб.                                                Установка окон 1шт. -9097р</t>
  </si>
  <si>
    <t>Установка козырьков - 28000р.;                                              Ремонт крылец 2шт- 40070р.                                      Установка дверных блоков 2шт - 40000р.</t>
  </si>
  <si>
    <t>Выборочный ремонт кровли 160 кв.м - 55876,24р.;                   Кап.рем. кровли 529 кв.м - 430500,0</t>
  </si>
  <si>
    <t>Кап. ремонт кровли 1629 кв.м - 640571р.;                      Установка  5-ти дверных блоков - 56000р.                                           Замена доводчиков 2шт.-2000р.</t>
  </si>
  <si>
    <t>Кап. ремонт кровли 820 кв.м - 331900р.                             Установка 3-х дверных блоков - 49800р.                                               Замена доводчиков 2шт.- 2000р.</t>
  </si>
  <si>
    <t>Установка 2х железных дверей с доводч.- 27400 р.                                                Ремонт кровли  351кв.м. - 244510р.</t>
  </si>
  <si>
    <t>Установка железной двери с доводчиком 10900руб.                                                       Ремонт кровли  345 кв.м. - 298050р.</t>
  </si>
  <si>
    <t>Замена внутридомового водопровода 35мп-19988р.                               Ремонт межпанельных швов 260 кв.м.-194615руб.                                                    Установка  дверных блоков  4шт. - 61600р.</t>
  </si>
  <si>
    <t>Замена внутридомового водопровода 33мп-19571р.                                        Ремонт межпанельных швов 260 кв.м.  - 194615р.                                     Установка  дверных блоков  4шт. - 49600р.</t>
  </si>
  <si>
    <r>
      <t>Кап. ремонт кровли 390м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- 237800р.                                                          Установка дверных блоков 2шт. - 43800р.                                        Установка окон 2шт. - 38850р.</t>
    </r>
  </si>
  <si>
    <r>
      <t>Установка 2х железных дверей - 30000 руб.                               Установка 2х железных козырьков  - 10000руб.                        Выборочный ремонт кровли  - 67673</t>
    </r>
    <r>
      <rPr>
        <sz val="11"/>
        <rFont val="Arial"/>
        <family val="2"/>
      </rPr>
      <t xml:space="preserve"> р.              </t>
    </r>
    <r>
      <rPr>
        <sz val="10"/>
        <rFont val="Arial"/>
        <family val="2"/>
      </rPr>
      <t xml:space="preserve">                                                   </t>
    </r>
  </si>
  <si>
    <t>Установка 3-х дверных блоков - 75900р.                                             Установка перил - 4500р.                                                     Ремонт межпанельных  швов 1305м.п. - 638823р.</t>
  </si>
  <si>
    <t>Установка дверного блока - 17000р.                                                        Установка окон 3шт. -27291р                                                         Ремонт отмостки 118 кв.м. -116115р.</t>
  </si>
  <si>
    <r>
      <t>Кап. ремонт кровли 342м</t>
    </r>
    <r>
      <rPr>
        <sz val="10"/>
        <rFont val="Calibri"/>
        <family val="2"/>
      </rPr>
      <t xml:space="preserve">² </t>
    </r>
    <r>
      <rPr>
        <sz val="10"/>
        <rFont val="Arial"/>
        <family val="2"/>
      </rPr>
      <t>- 323142р.                                                                Ремонт межпанельных швов 377 м.п. - 301191р.</t>
    </r>
  </si>
  <si>
    <t xml:space="preserve">Кап. ремонт кровли 287 м² - 155791р.                                                                      Ремонт межпанельных швов 388м.п. - 310206р. </t>
  </si>
  <si>
    <t>Установка металл. дверного блока-9000руб.                              Замена  козырька - 7200руб.                              Восстановление вент. шахт - 73187 руб.</t>
  </si>
  <si>
    <t xml:space="preserve">  </t>
  </si>
  <si>
    <t>Установка 2х металл. дверных блоков-24000руб .                                        Замена 2х козырьков - 13400руб.                                                              Замена 2х окннных блоков - 13400 руб.                                       Замена перилл 5м -14700руб.                                            Кап. ремонт кровли 414 кв.м.- 392338 руб.</t>
  </si>
  <si>
    <t>Установка 2х металл. дверных блоков-29000руб.                                                                                                                             Замена 2х козырьков - 14400руб.                                           Замена 2х окннных блоков - 13400 руб.                                     Кап. ремонт кровли 442,75 кв.м.- 387100 руб.</t>
  </si>
  <si>
    <t>Замена дверного блока - 21300р.                                           Замена доводчиков 2шт.-2000р.                                                               Установка двери в кв. № 21- 6780р.</t>
  </si>
  <si>
    <t>СОДЕРЖАНИЕ И РЕМОНТ МЕСТ ОБЩЕГО ПОЛЬЗОВАНИЯ МНОГОКВАРТИРНЫХ ДОМОВ</t>
  </si>
  <si>
    <t>АРЖ</t>
  </si>
  <si>
    <t>з/п Каменское с\п по обслуживанию</t>
  </si>
  <si>
    <t>з п дворников</t>
  </si>
  <si>
    <t>текущий ремонт+ тех обсл</t>
  </si>
  <si>
    <t>площадь санит обслуж м2</t>
  </si>
  <si>
    <t>Березкино затраты по управ</t>
  </si>
  <si>
    <t>кардымово управление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</si>
  <si>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</si>
  <si>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Сведения о выполненных работах по капитальному ремонту конструктивных элементов за период с 01.01.2008г. По 30.09.2014г.</t>
  </si>
  <si>
    <t>**- заработная плата уборщиков мест общего пользования, обязательные отчисления ЕСН,социальные выплаты, спецодежда, инвентарь, подвоз песка.</t>
  </si>
  <si>
    <r>
      <t>Общая площадь, м</t>
    </r>
    <r>
      <rPr>
        <vertAlign val="superscript"/>
        <sz val="11"/>
        <rFont val="Times New Roman"/>
        <family val="1"/>
      </rPr>
      <t>2</t>
    </r>
  </si>
  <si>
    <t>Установка 4-х дверных блоков - 95240р.                                Софинансирование  стоимости работ по капитальному ремонту - 553322руб.</t>
  </si>
  <si>
    <t>6-ти- квартирный жилой дом №27, ул. Красноармейская</t>
  </si>
  <si>
    <t>6-ти- квартирный жилой дом №29, ул. Красноармейская</t>
  </si>
  <si>
    <t>ОТЧЕТ ПО МНОГОКВАРТИРНЫМ ДОМАМ ЗА 2017Г.</t>
  </si>
  <si>
    <t>ОДН Кардымово</t>
  </si>
  <si>
    <t>ОДН Каменка</t>
  </si>
  <si>
    <t xml:space="preserve">ОДН Березкинское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</si>
</sst>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3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2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6" fillId="33" borderId="12" xfId="0" applyNumberFormat="1" applyFont="1" applyFill="1" applyBorder="1" applyAlignment="1" applyProtection="1">
      <alignment horizontal="center" vertical="top"/>
      <protection/>
    </xf>
    <xf numFmtId="2" fontId="8" fillId="33" borderId="13" xfId="0" applyNumberFormat="1" applyFont="1" applyFill="1" applyBorder="1" applyAlignment="1" applyProtection="1">
      <alignment horizontal="center" vertical="top"/>
      <protection/>
    </xf>
    <xf numFmtId="2" fontId="6" fillId="33" borderId="13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164" fontId="0" fillId="0" borderId="23" xfId="0" applyNumberFormat="1" applyFill="1" applyBorder="1" applyAlignment="1" applyProtection="1">
      <alignment horizontal="left"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9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/>
      <protection/>
    </xf>
    <xf numFmtId="2" fontId="6" fillId="0" borderId="13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/>
      <protection/>
    </xf>
    <xf numFmtId="2" fontId="6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164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64" fontId="1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164" fontId="6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64" fontId="1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3" xfId="0" applyNumberFormat="1" applyFont="1" applyFill="1" applyBorder="1" applyAlignment="1" applyProtection="1">
      <alignment horizontal="left" vertical="top"/>
      <protection/>
    </xf>
    <xf numFmtId="0" fontId="1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/>
      <protection/>
    </xf>
    <xf numFmtId="164" fontId="0" fillId="33" borderId="23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1" fillId="33" borderId="0" xfId="0" applyNumberFormat="1" applyFont="1" applyFill="1" applyBorder="1" applyAlignment="1" applyProtection="1">
      <alignment vertical="top"/>
      <protection/>
    </xf>
    <xf numFmtId="0" fontId="4" fillId="33" borderId="16" xfId="0" applyNumberFormat="1" applyFont="1" applyFill="1" applyBorder="1" applyAlignment="1" applyProtection="1">
      <alignment horizontal="center" vertical="top"/>
      <protection/>
    </xf>
    <xf numFmtId="164" fontId="1" fillId="33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2" fontId="5" fillId="0" borderId="13" xfId="0" applyNumberFormat="1" applyFont="1" applyFill="1" applyBorder="1" applyAlignment="1" applyProtection="1">
      <alignment horizontal="center" vertical="top"/>
      <protection/>
    </xf>
    <xf numFmtId="2" fontId="5" fillId="33" borderId="13" xfId="0" applyNumberFormat="1" applyFont="1" applyFill="1" applyBorder="1" applyAlignment="1" applyProtection="1">
      <alignment horizontal="center" vertical="top"/>
      <protection/>
    </xf>
    <xf numFmtId="0" fontId="51" fillId="34" borderId="0" xfId="0" applyNumberFormat="1" applyFont="1" applyFill="1" applyBorder="1" applyAlignment="1" applyProtection="1">
      <alignment vertical="top"/>
      <protection/>
    </xf>
    <xf numFmtId="0" fontId="52" fillId="34" borderId="0" xfId="0" applyNumberFormat="1" applyFont="1" applyFill="1" applyBorder="1" applyAlignment="1" applyProtection="1">
      <alignment vertical="top"/>
      <protection/>
    </xf>
    <xf numFmtId="0" fontId="51" fillId="34" borderId="0" xfId="0" applyNumberFormat="1" applyFont="1" applyFill="1" applyBorder="1" applyAlignment="1" applyProtection="1">
      <alignment vertical="top" wrapText="1"/>
      <protection/>
    </xf>
    <xf numFmtId="0" fontId="52" fillId="34" borderId="0" xfId="0" applyNumberFormat="1" applyFont="1" applyFill="1" applyBorder="1" applyAlignment="1" applyProtection="1">
      <alignment vertical="top" wrapText="1"/>
      <protection/>
    </xf>
    <xf numFmtId="0" fontId="51" fillId="34" borderId="0" xfId="0" applyNumberFormat="1" applyFont="1" applyFill="1" applyBorder="1" applyAlignment="1" applyProtection="1">
      <alignment vertical="center" wrapText="1"/>
      <protection/>
    </xf>
    <xf numFmtId="0" fontId="51" fillId="35" borderId="0" xfId="0" applyNumberFormat="1" applyFont="1" applyFill="1" applyBorder="1" applyAlignment="1" applyProtection="1">
      <alignment vertical="top"/>
      <protection/>
    </xf>
    <xf numFmtId="2" fontId="1" fillId="33" borderId="24" xfId="0" applyNumberFormat="1" applyFont="1" applyFill="1" applyBorder="1" applyAlignment="1" applyProtection="1">
      <alignment horizontal="center" vertical="top"/>
      <protection/>
    </xf>
    <xf numFmtId="2" fontId="1" fillId="33" borderId="25" xfId="0" applyNumberFormat="1" applyFont="1" applyFill="1" applyBorder="1" applyAlignment="1" applyProtection="1">
      <alignment horizontal="center" vertical="top"/>
      <protection/>
    </xf>
    <xf numFmtId="2" fontId="1" fillId="33" borderId="26" xfId="0" applyNumberFormat="1" applyFont="1" applyFill="1" applyBorder="1" applyAlignment="1" applyProtection="1">
      <alignment horizontal="center" vertical="top"/>
      <protection/>
    </xf>
    <xf numFmtId="0" fontId="4" fillId="33" borderId="27" xfId="0" applyNumberFormat="1" applyFont="1" applyFill="1" applyBorder="1" applyAlignment="1" applyProtection="1">
      <alignment horizontal="center" vertical="top"/>
      <protection/>
    </xf>
    <xf numFmtId="0" fontId="4" fillId="33" borderId="28" xfId="0" applyNumberFormat="1" applyFont="1" applyFill="1" applyBorder="1" applyAlignment="1" applyProtection="1">
      <alignment horizontal="center" vertical="top"/>
      <protection/>
    </xf>
    <xf numFmtId="2" fontId="1" fillId="33" borderId="19" xfId="0" applyNumberFormat="1" applyFont="1" applyFill="1" applyBorder="1" applyAlignment="1" applyProtection="1">
      <alignment horizontal="center" vertical="top"/>
      <protection/>
    </xf>
    <xf numFmtId="0" fontId="51" fillId="36" borderId="0" xfId="0" applyNumberFormat="1" applyFont="1" applyFill="1" applyBorder="1" applyAlignment="1" applyProtection="1">
      <alignment vertical="top"/>
      <protection/>
    </xf>
    <xf numFmtId="2" fontId="5" fillId="0" borderId="19" xfId="0" applyNumberFormat="1" applyFont="1" applyFill="1" applyBorder="1" applyAlignment="1" applyProtection="1">
      <alignment horizontal="center" vertical="top"/>
      <protection/>
    </xf>
    <xf numFmtId="0" fontId="11" fillId="0" borderId="29" xfId="0" applyNumberFormat="1" applyFont="1" applyFill="1" applyBorder="1" applyAlignment="1" applyProtection="1">
      <alignment horizontal="center" vertical="top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44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NumberFormat="1" applyFont="1" applyFill="1" applyBorder="1" applyAlignment="1" applyProtection="1">
      <alignment horizontal="center" vertical="center" wrapText="1"/>
      <protection/>
    </xf>
    <xf numFmtId="0" fontId="1" fillId="33" borderId="45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46" xfId="0" applyNumberFormat="1" applyFont="1" applyFill="1" applyBorder="1" applyAlignment="1" applyProtection="1">
      <alignment horizontal="center" vertical="top"/>
      <protection/>
    </xf>
    <xf numFmtId="2" fontId="1" fillId="33" borderId="19" xfId="0" applyNumberFormat="1" applyFont="1" applyFill="1" applyBorder="1" applyAlignment="1" applyProtection="1">
      <alignment horizontal="center" vertical="top"/>
      <protection/>
    </xf>
    <xf numFmtId="2" fontId="1" fillId="33" borderId="47" xfId="0" applyNumberFormat="1" applyFont="1" applyFill="1" applyBorder="1" applyAlignment="1" applyProtection="1">
      <alignment horizontal="center" vertical="top" wrapText="1"/>
      <protection/>
    </xf>
    <xf numFmtId="2" fontId="1" fillId="33" borderId="44" xfId="0" applyNumberFormat="1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center" vertical="top" wrapText="1"/>
      <protection/>
    </xf>
    <xf numFmtId="2" fontId="5" fillId="33" borderId="13" xfId="0" applyNumberFormat="1" applyFont="1" applyFill="1" applyBorder="1" applyAlignment="1" applyProtection="1">
      <alignment horizontal="center" vertical="top" wrapText="1"/>
      <protection/>
    </xf>
    <xf numFmtId="2" fontId="6" fillId="33" borderId="13" xfId="0" applyNumberFormat="1" applyFont="1" applyFill="1" applyBorder="1" applyAlignment="1" applyProtection="1">
      <alignment horizontal="center" vertical="top" wrapText="1"/>
      <protection/>
    </xf>
    <xf numFmtId="2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/>
      <protection/>
    </xf>
    <xf numFmtId="0" fontId="5" fillId="33" borderId="13" xfId="0" applyNumberFormat="1" applyFont="1" applyFill="1" applyBorder="1" applyAlignment="1" applyProtection="1">
      <alignment vertical="top"/>
      <protection/>
    </xf>
    <xf numFmtId="0" fontId="6" fillId="33" borderId="13" xfId="0" applyNumberFormat="1" applyFont="1" applyFill="1" applyBorder="1" applyAlignment="1" applyProtection="1">
      <alignment horizontal="center" vertical="top"/>
      <protection/>
    </xf>
    <xf numFmtId="164" fontId="6" fillId="33" borderId="13" xfId="0" applyNumberFormat="1" applyFont="1" applyFill="1" applyBorder="1" applyAlignment="1" applyProtection="1">
      <alignment horizontal="center" vertical="top"/>
      <protection/>
    </xf>
    <xf numFmtId="164" fontId="0" fillId="33" borderId="23" xfId="0" applyNumberFormat="1" applyFill="1" applyBorder="1" applyAlignment="1" applyProtection="1">
      <alignment horizontal="left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view="pageBreakPreview" zoomScaleSheetLayoutView="100" workbookViewId="0" topLeftCell="B8">
      <selection activeCell="A8" sqref="A8:P8"/>
    </sheetView>
  </sheetViews>
  <sheetFormatPr defaultColWidth="9.140625" defaultRowHeight="52.5" customHeight="1"/>
  <cols>
    <col min="1" max="1" width="3.8515625" style="0" hidden="1" customWidth="1"/>
    <col min="2" max="2" width="59.7109375" style="0" customWidth="1"/>
    <col min="3" max="3" width="7.28125" style="0" customWidth="1"/>
    <col min="4" max="4" width="12.8515625" style="0" customWidth="1"/>
    <col min="5" max="5" width="14.00390625" style="0" customWidth="1"/>
    <col min="6" max="6" width="14.28125" style="28" customWidth="1"/>
    <col min="7" max="7" width="12.28125" style="0" customWidth="1"/>
    <col min="8" max="8" width="13.57421875" style="58" customWidth="1"/>
    <col min="9" max="9" width="11.7109375" style="28" customWidth="1"/>
    <col min="10" max="10" width="14.140625" style="28" customWidth="1"/>
    <col min="11" max="11" width="12.140625" style="28" customWidth="1"/>
    <col min="12" max="12" width="14.00390625" style="0" customWidth="1"/>
    <col min="13" max="13" width="15.8515625" style="0" customWidth="1"/>
    <col min="14" max="14" width="14.57421875" style="0" customWidth="1"/>
    <col min="15" max="15" width="14.7109375" style="0" customWidth="1"/>
    <col min="16" max="16" width="13.57421875" style="0" customWidth="1"/>
    <col min="17" max="17" width="23.8515625" style="0" customWidth="1"/>
    <col min="18" max="18" width="67.421875" style="0" customWidth="1"/>
  </cols>
  <sheetData>
    <row r="1" spans="1:17" s="28" customFormat="1" ht="24" customHeight="1" hidden="1">
      <c r="A1" s="58"/>
      <c r="B1" s="65"/>
      <c r="C1" s="65"/>
      <c r="D1" s="66"/>
      <c r="E1" s="65"/>
      <c r="F1" s="77"/>
      <c r="G1" s="65" t="s">
        <v>47</v>
      </c>
      <c r="H1" s="58"/>
      <c r="I1" s="59"/>
      <c r="J1" s="58" t="s">
        <v>46</v>
      </c>
      <c r="K1" s="65"/>
      <c r="L1" s="65"/>
      <c r="M1" s="65"/>
      <c r="N1" s="65"/>
      <c r="O1" s="65"/>
      <c r="P1" s="65"/>
      <c r="Q1" s="59"/>
    </row>
    <row r="2" spans="1:17" s="28" customFormat="1" ht="30.75" customHeight="1" hidden="1">
      <c r="A2" s="58"/>
      <c r="B2" s="65"/>
      <c r="C2" s="65"/>
      <c r="D2" s="66"/>
      <c r="E2" s="65"/>
      <c r="F2" s="77"/>
      <c r="G2" s="65"/>
      <c r="H2" s="58"/>
      <c r="I2" s="59"/>
      <c r="J2" s="58"/>
      <c r="K2" s="65">
        <v>56353.55</v>
      </c>
      <c r="L2" s="67" t="s">
        <v>148</v>
      </c>
      <c r="M2" s="65"/>
      <c r="N2" s="65"/>
      <c r="O2" s="65"/>
      <c r="P2" s="65"/>
      <c r="Q2" s="59"/>
    </row>
    <row r="3" spans="2:17" s="58" customFormat="1" ht="73.5" customHeight="1" hidden="1">
      <c r="B3" s="65"/>
      <c r="C3" s="65"/>
      <c r="D3" s="68" t="s">
        <v>144</v>
      </c>
      <c r="E3" s="70">
        <v>87885</v>
      </c>
      <c r="F3" s="77" t="s">
        <v>145</v>
      </c>
      <c r="G3" s="69" t="s">
        <v>147</v>
      </c>
      <c r="H3" s="104" t="s">
        <v>146</v>
      </c>
      <c r="I3" s="59"/>
      <c r="K3" s="65">
        <v>370712.4</v>
      </c>
      <c r="L3" s="65" t="s">
        <v>99</v>
      </c>
      <c r="M3" s="65"/>
      <c r="N3" s="65"/>
      <c r="O3" s="65"/>
      <c r="P3" s="65"/>
      <c r="Q3" s="59"/>
    </row>
    <row r="4" spans="2:17" s="58" customFormat="1" ht="33.75" customHeight="1" hidden="1">
      <c r="B4" s="65"/>
      <c r="C4" s="65"/>
      <c r="D4" s="66" t="s">
        <v>143</v>
      </c>
      <c r="E4" s="70">
        <v>3792867.95</v>
      </c>
      <c r="F4" s="77">
        <v>2445151.27</v>
      </c>
      <c r="G4" s="65">
        <v>62182.7</v>
      </c>
      <c r="H4" s="58">
        <v>155444.84</v>
      </c>
      <c r="I4" s="59"/>
      <c r="K4" s="65">
        <v>3313045.08</v>
      </c>
      <c r="L4" s="67" t="s">
        <v>149</v>
      </c>
      <c r="M4" s="65"/>
      <c r="N4" s="65"/>
      <c r="O4" s="65"/>
      <c r="P4" s="65"/>
      <c r="Q4" s="59"/>
    </row>
    <row r="5" spans="2:17" s="58" customFormat="1" ht="33.75" customHeight="1" hidden="1">
      <c r="B5" s="65"/>
      <c r="C5" s="65"/>
      <c r="D5" s="66"/>
      <c r="E5" s="70"/>
      <c r="F5" s="77" t="s">
        <v>158</v>
      </c>
      <c r="G5" s="65">
        <v>139038.16</v>
      </c>
      <c r="I5" s="59"/>
      <c r="K5" s="65"/>
      <c r="L5" s="67"/>
      <c r="M5" s="65"/>
      <c r="N5" s="65"/>
      <c r="O5" s="65"/>
      <c r="P5" s="65"/>
      <c r="Q5" s="59"/>
    </row>
    <row r="6" spans="2:17" s="58" customFormat="1" ht="33.75" customHeight="1" hidden="1">
      <c r="B6" s="65"/>
      <c r="C6" s="65"/>
      <c r="D6" s="66"/>
      <c r="E6" s="70"/>
      <c r="F6" s="77" t="s">
        <v>159</v>
      </c>
      <c r="G6" s="65">
        <v>11622.1</v>
      </c>
      <c r="I6" s="59"/>
      <c r="K6" s="65"/>
      <c r="L6" s="67"/>
      <c r="M6" s="65"/>
      <c r="N6" s="65"/>
      <c r="O6" s="65"/>
      <c r="P6" s="65"/>
      <c r="Q6" s="59"/>
    </row>
    <row r="7" spans="2:17" s="58" customFormat="1" ht="33.75" customHeight="1" hidden="1" thickBot="1">
      <c r="B7" s="65"/>
      <c r="C7" s="65"/>
      <c r="D7" s="66"/>
      <c r="E7" s="70"/>
      <c r="F7" s="77" t="s">
        <v>160</v>
      </c>
      <c r="G7" s="65">
        <v>6780.42</v>
      </c>
      <c r="I7" s="59"/>
      <c r="K7" s="65"/>
      <c r="L7" s="67"/>
      <c r="M7" s="65"/>
      <c r="N7" s="65"/>
      <c r="O7" s="65"/>
      <c r="P7" s="65"/>
      <c r="Q7" s="59"/>
    </row>
    <row r="8" spans="1:17" ht="40.5" customHeight="1" thickBot="1">
      <c r="A8" s="79" t="s">
        <v>157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 t="s">
        <v>151</v>
      </c>
    </row>
    <row r="9" spans="1:17" ht="35.25" customHeight="1">
      <c r="A9" s="92"/>
      <c r="B9" s="93"/>
      <c r="C9" s="93"/>
      <c r="D9" s="94"/>
      <c r="E9" s="91" t="s">
        <v>142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  <c r="Q9" s="82"/>
    </row>
    <row r="10" spans="1:17" ht="52.5" customHeight="1">
      <c r="A10" s="84" t="s">
        <v>65</v>
      </c>
      <c r="B10" s="84" t="s">
        <v>0</v>
      </c>
      <c r="C10" s="86" t="s">
        <v>1</v>
      </c>
      <c r="D10" s="86" t="s">
        <v>153</v>
      </c>
      <c r="E10" s="97" t="s">
        <v>56</v>
      </c>
      <c r="F10" s="98" t="s">
        <v>57</v>
      </c>
      <c r="G10" s="98" t="s">
        <v>48</v>
      </c>
      <c r="H10" s="98" t="s">
        <v>49</v>
      </c>
      <c r="I10" s="98" t="s">
        <v>50</v>
      </c>
      <c r="J10" s="98" t="s">
        <v>45</v>
      </c>
      <c r="K10" s="99" t="s">
        <v>58</v>
      </c>
      <c r="L10" s="100"/>
      <c r="M10" s="86" t="s">
        <v>64</v>
      </c>
      <c r="N10" s="88" t="s">
        <v>61</v>
      </c>
      <c r="O10" s="86" t="s">
        <v>62</v>
      </c>
      <c r="P10" s="95" t="s">
        <v>63</v>
      </c>
      <c r="Q10" s="82"/>
    </row>
    <row r="11" spans="1:17" ht="52.5" customHeight="1" thickBot="1">
      <c r="A11" s="85"/>
      <c r="B11" s="85"/>
      <c r="C11" s="87"/>
      <c r="D11" s="87"/>
      <c r="E11" s="101"/>
      <c r="F11" s="102"/>
      <c r="G11" s="102"/>
      <c r="H11" s="102"/>
      <c r="I11" s="102"/>
      <c r="J11" s="102"/>
      <c r="K11" s="103" t="s">
        <v>59</v>
      </c>
      <c r="L11" s="103" t="s">
        <v>60</v>
      </c>
      <c r="M11" s="87"/>
      <c r="N11" s="89"/>
      <c r="O11" s="87"/>
      <c r="P11" s="96"/>
      <c r="Q11" s="83"/>
    </row>
    <row r="12" spans="1:17" s="1" customFormat="1" ht="17.25" customHeight="1" thickBot="1">
      <c r="A12" s="19">
        <v>1</v>
      </c>
      <c r="B12" s="20">
        <v>2</v>
      </c>
      <c r="C12" s="20">
        <v>3</v>
      </c>
      <c r="D12" s="20">
        <v>4</v>
      </c>
      <c r="E12" s="21">
        <v>5</v>
      </c>
      <c r="F12" s="60">
        <v>6</v>
      </c>
      <c r="G12" s="21">
        <v>7</v>
      </c>
      <c r="H12" s="60">
        <v>8</v>
      </c>
      <c r="I12" s="105">
        <v>9</v>
      </c>
      <c r="J12" s="75">
        <v>10</v>
      </c>
      <c r="K12" s="74">
        <v>11</v>
      </c>
      <c r="L12" s="21">
        <v>12</v>
      </c>
      <c r="M12" s="21">
        <v>13</v>
      </c>
      <c r="N12" s="21">
        <v>15</v>
      </c>
      <c r="O12" s="21">
        <v>16</v>
      </c>
      <c r="P12" s="22">
        <v>17</v>
      </c>
      <c r="Q12" s="23">
        <v>18</v>
      </c>
    </row>
    <row r="13" spans="1:17" s="2" customFormat="1" ht="52.5" customHeight="1" thickBot="1">
      <c r="A13" s="34" t="s">
        <v>2</v>
      </c>
      <c r="B13" s="24" t="s">
        <v>3</v>
      </c>
      <c r="C13" s="43">
        <v>1990</v>
      </c>
      <c r="D13" s="44">
        <v>731</v>
      </c>
      <c r="E13" s="38">
        <f>E4/D56*D13</f>
        <v>43006.14633592856</v>
      </c>
      <c r="F13" s="76">
        <f>(F4/G4*D13)</f>
        <v>28744.418919892512</v>
      </c>
      <c r="G13" s="38">
        <f>G5/D56*D13</f>
        <v>1576.510317275414</v>
      </c>
      <c r="H13" s="106">
        <f>(H4/D56*D13)</f>
        <v>1762.5405430223325</v>
      </c>
      <c r="I13" s="107"/>
      <c r="J13" s="73">
        <v>3016.31</v>
      </c>
      <c r="K13" s="71">
        <f>K4/D56*D13</f>
        <v>37565.58451448545</v>
      </c>
      <c r="L13" s="38">
        <f>K13*54.48%</f>
        <v>20465.73044349167</v>
      </c>
      <c r="M13" s="38">
        <f>SUM(E13:K13)</f>
        <v>115671.51063060426</v>
      </c>
      <c r="N13" s="78">
        <v>132057.33</v>
      </c>
      <c r="O13" s="78">
        <v>131338.45</v>
      </c>
      <c r="P13" s="31">
        <f aca="true" t="shared" si="0" ref="P13:P55">O13-M13</f>
        <v>15666.939369395754</v>
      </c>
      <c r="Q13" s="36" t="s">
        <v>115</v>
      </c>
    </row>
    <row r="14" spans="1:17" s="2" customFormat="1" ht="52.5" customHeight="1" thickBot="1">
      <c r="A14" s="12">
        <v>2</v>
      </c>
      <c r="B14" s="16" t="s">
        <v>8</v>
      </c>
      <c r="C14" s="45">
        <v>1978</v>
      </c>
      <c r="D14" s="45">
        <v>868.6</v>
      </c>
      <c r="E14" s="39">
        <f>E4/D56*D14</f>
        <v>51101.42094033864</v>
      </c>
      <c r="F14" s="56">
        <f>(F4/G4*D14)+1167.5</f>
        <v>35322.63306951934</v>
      </c>
      <c r="G14" s="39">
        <f>G5/D56*D14</f>
        <v>1873.2652005272566</v>
      </c>
      <c r="H14" s="55">
        <f>H4/D56*D14</f>
        <v>2094.3128805324186</v>
      </c>
      <c r="I14" s="108"/>
      <c r="J14" s="55">
        <v>4052.47</v>
      </c>
      <c r="K14" s="72">
        <f>K4/D56*D14</f>
        <v>44636.75336427094</v>
      </c>
      <c r="L14" s="39">
        <f aca="true" t="shared" si="1" ref="L14:L55">K14*54.48%</f>
        <v>24318.103232854806</v>
      </c>
      <c r="M14" s="38">
        <f>SUM(E14:K14)</f>
        <v>139080.8554551886</v>
      </c>
      <c r="N14" s="63">
        <v>133055.22</v>
      </c>
      <c r="O14" s="63">
        <v>122151.32</v>
      </c>
      <c r="P14" s="31">
        <f t="shared" si="0"/>
        <v>-16929.535455188598</v>
      </c>
      <c r="Q14" s="36" t="s">
        <v>116</v>
      </c>
    </row>
    <row r="15" spans="1:17" s="2" customFormat="1" ht="52.5" customHeight="1" thickBot="1">
      <c r="A15" s="12">
        <v>3</v>
      </c>
      <c r="B15" s="16" t="s">
        <v>9</v>
      </c>
      <c r="C15" s="45">
        <v>1988</v>
      </c>
      <c r="D15" s="45">
        <v>732.3</v>
      </c>
      <c r="E15" s="39">
        <f>E4/D56*D15</f>
        <v>43082.627854720224</v>
      </c>
      <c r="F15" s="56">
        <f>(F4/G4*D15)+622.66</f>
        <v>29418.19758555032</v>
      </c>
      <c r="G15" s="39">
        <f>G5/D56*D15</f>
        <v>1579.3139607945084</v>
      </c>
      <c r="H15" s="55">
        <f>(H4/D56*D15)</f>
        <v>1765.6750200482272</v>
      </c>
      <c r="I15" s="108"/>
      <c r="J15" s="55">
        <v>2036.38</v>
      </c>
      <c r="K15" s="72">
        <f>K4/D56*D15</f>
        <v>37632.390615537195</v>
      </c>
      <c r="L15" s="39">
        <f t="shared" si="1"/>
        <v>20502.126407344662</v>
      </c>
      <c r="M15" s="39">
        <f aca="true" t="shared" si="2" ref="M15:M71">SUM(E15:K15)</f>
        <v>115514.58503665046</v>
      </c>
      <c r="N15" s="63">
        <v>124810.86</v>
      </c>
      <c r="O15" s="63">
        <v>121990.72</v>
      </c>
      <c r="P15" s="31">
        <f t="shared" si="0"/>
        <v>6476.134963349541</v>
      </c>
      <c r="Q15" s="36" t="s">
        <v>103</v>
      </c>
    </row>
    <row r="16" spans="1:17" s="2" customFormat="1" ht="52.5" customHeight="1" thickBot="1">
      <c r="A16" s="12">
        <v>4</v>
      </c>
      <c r="B16" s="16" t="s">
        <v>4</v>
      </c>
      <c r="C16" s="45">
        <v>1991</v>
      </c>
      <c r="D16" s="45">
        <v>719.2</v>
      </c>
      <c r="E16" s="39">
        <f>E4/D56*D16</f>
        <v>42311.929473050375</v>
      </c>
      <c r="F16" s="56">
        <f>(F4/G4*D16)+622.66</f>
        <v>28903.078723921608</v>
      </c>
      <c r="G16" s="39">
        <f>G5/D56*D16</f>
        <v>1551.06186071748</v>
      </c>
      <c r="H16" s="55">
        <f>H4/D56*D16+573.92+1614+57.01</f>
        <v>3979.019136171904</v>
      </c>
      <c r="I16" s="108">
        <f>1748.48</f>
        <v>1748.48</v>
      </c>
      <c r="J16" s="55">
        <v>2062.05</v>
      </c>
      <c r="K16" s="72">
        <f>K4/D56*D16</f>
        <v>36959.190674169535</v>
      </c>
      <c r="L16" s="39">
        <f t="shared" si="1"/>
        <v>20135.36707928756</v>
      </c>
      <c r="M16" s="39">
        <f t="shared" si="2"/>
        <v>117514.80986803092</v>
      </c>
      <c r="N16" s="63">
        <v>122986.8</v>
      </c>
      <c r="O16" s="63">
        <v>121696.33</v>
      </c>
      <c r="P16" s="31">
        <f t="shared" si="0"/>
        <v>4181.520131969082</v>
      </c>
      <c r="Q16" s="35" t="s">
        <v>102</v>
      </c>
    </row>
    <row r="17" spans="1:17" s="2" customFormat="1" ht="52.5" customHeight="1" thickBot="1">
      <c r="A17" s="12">
        <v>5</v>
      </c>
      <c r="B17" s="16" t="s">
        <v>28</v>
      </c>
      <c r="C17" s="45">
        <v>1991</v>
      </c>
      <c r="D17" s="45">
        <v>721.5</v>
      </c>
      <c r="E17" s="39">
        <f>E4/D56*D17</f>
        <v>42447.242929374086</v>
      </c>
      <c r="F17" s="56">
        <f>(F4/G4*D17)+622.67</f>
        <v>28993.529440085425</v>
      </c>
      <c r="G17" s="39">
        <f>G5/D56*D17</f>
        <v>1556.022153097416</v>
      </c>
      <c r="H17" s="55">
        <f>(H4/D56*D17)</f>
        <v>1739.6347493715637</v>
      </c>
      <c r="I17" s="108"/>
      <c r="J17" s="55">
        <v>2036.38</v>
      </c>
      <c r="K17" s="72">
        <f>K4/D56*D17</f>
        <v>37077.38608372264</v>
      </c>
      <c r="L17" s="39">
        <f t="shared" si="1"/>
        <v>20199.75993841209</v>
      </c>
      <c r="M17" s="39">
        <f t="shared" si="2"/>
        <v>113850.19535565113</v>
      </c>
      <c r="N17" s="63">
        <v>129810.49</v>
      </c>
      <c r="O17" s="63">
        <v>123839.5</v>
      </c>
      <c r="P17" s="31">
        <f t="shared" si="0"/>
        <v>9989.304644348871</v>
      </c>
      <c r="Q17" s="35" t="s">
        <v>100</v>
      </c>
    </row>
    <row r="18" spans="1:17" s="2" customFormat="1" ht="52.5" customHeight="1" thickBot="1">
      <c r="A18" s="12">
        <v>6</v>
      </c>
      <c r="B18" s="16" t="s">
        <v>10</v>
      </c>
      <c r="C18" s="45">
        <v>1989</v>
      </c>
      <c r="D18" s="45">
        <v>4255.9</v>
      </c>
      <c r="E18" s="39">
        <f>E4/D56*D18</f>
        <v>250382.84294265162</v>
      </c>
      <c r="F18" s="56">
        <f>(F4/G4*D18)+1167.5</f>
        <v>168518.21474852329</v>
      </c>
      <c r="G18" s="39">
        <f>G5/D56*D18</f>
        <v>9178.481886856955</v>
      </c>
      <c r="H18" s="55">
        <f>(H4/D56*D18)+17714.79+299+75.98+3472+7448.51</f>
        <v>39271.834441927145</v>
      </c>
      <c r="I18" s="108">
        <f>23493.69+57411.18+95306.75+18258.57+11894.35</f>
        <v>206364.54</v>
      </c>
      <c r="J18" s="55"/>
      <c r="K18" s="72">
        <f>K4/D56*D18</f>
        <v>218707.75805088726</v>
      </c>
      <c r="L18" s="39">
        <f t="shared" si="1"/>
        <v>119151.98658612337</v>
      </c>
      <c r="M18" s="39">
        <f t="shared" si="2"/>
        <v>892423.6720708463</v>
      </c>
      <c r="N18" s="63">
        <v>736099.86</v>
      </c>
      <c r="O18" s="63">
        <v>719645.99</v>
      </c>
      <c r="P18" s="31">
        <f t="shared" si="0"/>
        <v>-172777.68207084632</v>
      </c>
      <c r="Q18" s="36" t="s">
        <v>113</v>
      </c>
    </row>
    <row r="19" spans="1:17" s="2" customFormat="1" ht="52.5" customHeight="1" thickBot="1">
      <c r="A19" s="12">
        <v>7</v>
      </c>
      <c r="B19" s="16" t="s">
        <v>11</v>
      </c>
      <c r="C19" s="45">
        <v>1988</v>
      </c>
      <c r="D19" s="45">
        <v>4245.1</v>
      </c>
      <c r="E19" s="39">
        <f>E4/D56*D19</f>
        <v>249747.45801730553</v>
      </c>
      <c r="F19" s="56">
        <f>(F4/G4*D19)+1167.5</f>
        <v>168093.53660305843</v>
      </c>
      <c r="G19" s="39">
        <f>G5/D56*D19</f>
        <v>9155.190079159864</v>
      </c>
      <c r="H19" s="55">
        <f>(H4/D56*D19)+1255.05+860+3089.89+1356.97+417</f>
        <v>17214.424171250485</v>
      </c>
      <c r="I19" s="108">
        <f>22233.76+8140+6980.47</f>
        <v>37354.229999999996</v>
      </c>
      <c r="J19" s="55"/>
      <c r="K19" s="72">
        <f>K4/D56*D19</f>
        <v>218152.75351907272</v>
      </c>
      <c r="L19" s="39">
        <f t="shared" si="1"/>
        <v>118849.6201171908</v>
      </c>
      <c r="M19" s="39">
        <f t="shared" si="2"/>
        <v>699717.5923898469</v>
      </c>
      <c r="N19" s="63">
        <v>735793.02</v>
      </c>
      <c r="O19" s="63">
        <v>724105.81</v>
      </c>
      <c r="P19" s="31">
        <f t="shared" si="0"/>
        <v>24388.217610153137</v>
      </c>
      <c r="Q19" s="36" t="s">
        <v>112</v>
      </c>
    </row>
    <row r="20" spans="1:17" s="2" customFormat="1" ht="52.5" customHeight="1" thickBot="1">
      <c r="A20" s="12">
        <v>8</v>
      </c>
      <c r="B20" s="16" t="s">
        <v>5</v>
      </c>
      <c r="C20" s="45">
        <v>1978</v>
      </c>
      <c r="D20" s="45">
        <v>772.1</v>
      </c>
      <c r="E20" s="39">
        <f>E4/D56*D20</f>
        <v>45424.13896849582</v>
      </c>
      <c r="F20" s="56">
        <f>(F4/G4*D20)+1167.5</f>
        <v>31528.055195689478</v>
      </c>
      <c r="G20" s="39">
        <f>G5/D56*D20</f>
        <v>1665.1485854560153</v>
      </c>
      <c r="H20" s="55">
        <f>(H4/D56*D20)</f>
        <v>1861.6382397640807</v>
      </c>
      <c r="I20" s="109"/>
      <c r="J20" s="73">
        <v>3005.82</v>
      </c>
      <c r="K20" s="56">
        <f>K4/D56*D20</f>
        <v>39677.685093890854</v>
      </c>
      <c r="L20" s="39">
        <f t="shared" si="1"/>
        <v>21616.402839151735</v>
      </c>
      <c r="M20" s="39">
        <f t="shared" si="2"/>
        <v>123162.48608329624</v>
      </c>
      <c r="N20" s="63">
        <v>118915.38</v>
      </c>
      <c r="O20" s="63">
        <v>112548.54</v>
      </c>
      <c r="P20" s="31">
        <f t="shared" si="0"/>
        <v>-10613.94608329625</v>
      </c>
      <c r="Q20" s="35" t="s">
        <v>51</v>
      </c>
    </row>
    <row r="21" spans="1:17" s="2" customFormat="1" ht="52.5" customHeight="1" thickBot="1">
      <c r="A21" s="12">
        <v>9</v>
      </c>
      <c r="B21" s="16" t="s">
        <v>12</v>
      </c>
      <c r="C21" s="45">
        <v>1979</v>
      </c>
      <c r="D21" s="45">
        <v>779.4</v>
      </c>
      <c r="E21" s="39">
        <f>E4/D56*D21</f>
        <v>45853.61211247978</v>
      </c>
      <c r="F21" s="56">
        <f>(F4/G4*D21)+1167.5</f>
        <v>31815.106164383342</v>
      </c>
      <c r="G21" s="39">
        <f>G5/D56*D21</f>
        <v>1680.892122140161</v>
      </c>
      <c r="H21" s="55">
        <f>(H4/D56*D21)</f>
        <v>1879.2395338325664</v>
      </c>
      <c r="I21" s="109"/>
      <c r="J21" s="55">
        <v>3005.82</v>
      </c>
      <c r="K21" s="56">
        <f>K4/D56*D21</f>
        <v>40052.82704595069</v>
      </c>
      <c r="L21" s="39">
        <f t="shared" si="1"/>
        <v>21820.780174633932</v>
      </c>
      <c r="M21" s="39">
        <f t="shared" si="2"/>
        <v>124287.49697878654</v>
      </c>
      <c r="N21" s="63">
        <v>119390.88</v>
      </c>
      <c r="O21" s="63">
        <v>113057.67</v>
      </c>
      <c r="P21" s="31">
        <f t="shared" si="0"/>
        <v>-11229.826978786543</v>
      </c>
      <c r="Q21" s="36" t="s">
        <v>124</v>
      </c>
    </row>
    <row r="22" spans="1:17" s="2" customFormat="1" ht="52.5" customHeight="1" thickBot="1">
      <c r="A22" s="12">
        <v>10</v>
      </c>
      <c r="B22" s="16" t="s">
        <v>6</v>
      </c>
      <c r="C22" s="45">
        <v>1991</v>
      </c>
      <c r="D22" s="45">
        <v>5272.8</v>
      </c>
      <c r="E22" s="39">
        <f>E4/D56*D22</f>
        <v>310209.0402189933</v>
      </c>
      <c r="F22" s="56">
        <f>(F4/G4*D22)+1868</f>
        <v>209205.30790808378</v>
      </c>
      <c r="G22" s="39">
        <f>G5/D56*D22</f>
        <v>11371.578113447064</v>
      </c>
      <c r="H22" s="55">
        <f>(H4/D56*D22)+5555.64+7080.62+2531+20109+171.91+451.9+2611.63</f>
        <v>51225.13881702894</v>
      </c>
      <c r="I22" s="56">
        <f>4853.73</f>
        <v>4853.73</v>
      </c>
      <c r="J22" s="55"/>
      <c r="K22" s="56">
        <f>K4/D56*D22</f>
        <v>270965.54586590815</v>
      </c>
      <c r="L22" s="39">
        <f t="shared" si="1"/>
        <v>147622.02938774673</v>
      </c>
      <c r="M22" s="39">
        <f t="shared" si="2"/>
        <v>857830.3409234612</v>
      </c>
      <c r="N22" s="63">
        <v>916055.03</v>
      </c>
      <c r="O22" s="63">
        <v>875943.42</v>
      </c>
      <c r="P22" s="31">
        <f t="shared" si="0"/>
        <v>18113.079076538794</v>
      </c>
      <c r="Q22" s="36" t="s">
        <v>125</v>
      </c>
    </row>
    <row r="23" spans="1:17" s="2" customFormat="1" ht="52.5" customHeight="1" thickBot="1">
      <c r="A23" s="12">
        <v>11</v>
      </c>
      <c r="B23" s="16" t="s">
        <v>42</v>
      </c>
      <c r="C23" s="45">
        <v>1984</v>
      </c>
      <c r="D23" s="45">
        <v>3638.14</v>
      </c>
      <c r="E23" s="39">
        <f>E4/D56*D23</f>
        <v>214038.82521285242</v>
      </c>
      <c r="F23" s="56">
        <f>(F4/G4*D23)+778.33</f>
        <v>143837.45482793121</v>
      </c>
      <c r="G23" s="39">
        <f>(G5/D56*D23)+180032.01</f>
        <v>187878.2004865833</v>
      </c>
      <c r="H23" s="55">
        <f>(H4/D56*D23)+3357</f>
        <v>12129.050959221982</v>
      </c>
      <c r="I23" s="56">
        <f>495</f>
        <v>495</v>
      </c>
      <c r="J23" s="55"/>
      <c r="K23" s="56">
        <f>K4/D56*D23</f>
        <v>186961.49883109448</v>
      </c>
      <c r="L23" s="39">
        <f t="shared" si="1"/>
        <v>101856.62456318026</v>
      </c>
      <c r="M23" s="39">
        <f t="shared" si="2"/>
        <v>745340.0303176835</v>
      </c>
      <c r="N23" s="63">
        <v>608921.38</v>
      </c>
      <c r="O23" s="63">
        <v>525500.61</v>
      </c>
      <c r="P23" s="31">
        <f t="shared" si="0"/>
        <v>-219839.42031768349</v>
      </c>
      <c r="Q23" s="36" t="s">
        <v>141</v>
      </c>
    </row>
    <row r="24" spans="1:17" s="2" customFormat="1" ht="52.5" customHeight="1" thickBot="1">
      <c r="A24" s="12">
        <v>12</v>
      </c>
      <c r="B24" s="16" t="s">
        <v>155</v>
      </c>
      <c r="C24" s="45">
        <v>1978</v>
      </c>
      <c r="D24" s="45">
        <v>271.7</v>
      </c>
      <c r="E24" s="39">
        <f>E4/D56*D24</f>
        <v>15984.637427457988</v>
      </c>
      <c r="F24" s="56">
        <f>(F4/G4*D24)+778.33</f>
        <v>11462.131122482619</v>
      </c>
      <c r="G24" s="39">
        <f>G5/D56*D24</f>
        <v>585.9614954907387</v>
      </c>
      <c r="H24" s="55">
        <f>H4/D56*D24</f>
        <v>655.1056984119941</v>
      </c>
      <c r="I24" s="109">
        <v>12553.33</v>
      </c>
      <c r="J24" s="55">
        <v>1528.69</v>
      </c>
      <c r="K24" s="56">
        <f>K4/D56*D24</f>
        <v>13962.475119816272</v>
      </c>
      <c r="L24" s="39">
        <f t="shared" si="1"/>
        <v>7606.756445275904</v>
      </c>
      <c r="M24" s="39">
        <f t="shared" si="2"/>
        <v>56732.33086365961</v>
      </c>
      <c r="N24" s="63">
        <v>45581.16</v>
      </c>
      <c r="O24" s="63">
        <v>35073.5</v>
      </c>
      <c r="P24" s="31">
        <f t="shared" si="0"/>
        <v>-21658.830863659612</v>
      </c>
      <c r="Q24" s="35" t="s">
        <v>53</v>
      </c>
    </row>
    <row r="25" spans="1:17" s="2" customFormat="1" ht="52.5" customHeight="1" thickBot="1">
      <c r="A25" s="12">
        <v>13</v>
      </c>
      <c r="B25" s="16" t="s">
        <v>156</v>
      </c>
      <c r="C25" s="45">
        <v>1977</v>
      </c>
      <c r="D25" s="46">
        <v>271</v>
      </c>
      <c r="E25" s="39">
        <f>E4/D56*D25</f>
        <v>15943.455071185554</v>
      </c>
      <c r="F25" s="56">
        <f>(F4/G4*D25)+778.34</f>
        <v>11434.615687128415</v>
      </c>
      <c r="G25" s="39">
        <f>G5/D56*D25</f>
        <v>584.4518412881494</v>
      </c>
      <c r="H25" s="55">
        <f>H4/D56*D25</f>
        <v>653.4179030903585</v>
      </c>
      <c r="I25" s="109"/>
      <c r="J25" s="55">
        <v>1528.69</v>
      </c>
      <c r="K25" s="56">
        <f>K4/D56*D25</f>
        <v>13926.502603865329</v>
      </c>
      <c r="L25" s="39">
        <f t="shared" si="1"/>
        <v>7587.1586185858305</v>
      </c>
      <c r="M25" s="39">
        <f t="shared" si="2"/>
        <v>44071.1331065578</v>
      </c>
      <c r="N25" s="63">
        <v>46160.64</v>
      </c>
      <c r="O25" s="63">
        <v>45931.82</v>
      </c>
      <c r="P25" s="31">
        <f t="shared" si="0"/>
        <v>1860.6868934422018</v>
      </c>
      <c r="Q25" s="35"/>
    </row>
    <row r="26" spans="1:17" s="2" customFormat="1" ht="52.5" customHeight="1" thickBot="1">
      <c r="A26" s="12">
        <v>14</v>
      </c>
      <c r="B26" s="17" t="s">
        <v>40</v>
      </c>
      <c r="C26" s="45">
        <v>1986</v>
      </c>
      <c r="D26" s="45">
        <v>3215.3</v>
      </c>
      <c r="E26" s="39">
        <f>E4/D56*D26</f>
        <v>189162.32874680043</v>
      </c>
      <c r="F26" s="56">
        <f>(F4/G4*D26)+1167.5</f>
        <v>127599.68899197044</v>
      </c>
      <c r="G26" s="39">
        <f>G5/D56*D26</f>
        <v>6934.273082264896</v>
      </c>
      <c r="H26" s="55">
        <f>(H4/D56*D26)+8832.5+188.01+685.97</f>
        <v>17459.00613950712</v>
      </c>
      <c r="I26" s="110"/>
      <c r="J26" s="55">
        <v>9309.32</v>
      </c>
      <c r="K26" s="56">
        <f>K4/D56*D26</f>
        <v>165232.04362438447</v>
      </c>
      <c r="L26" s="39">
        <f t="shared" si="1"/>
        <v>90018.41736656465</v>
      </c>
      <c r="M26" s="39">
        <f t="shared" si="2"/>
        <v>515696.6605849273</v>
      </c>
      <c r="N26" s="63">
        <v>550879.13</v>
      </c>
      <c r="O26" s="63">
        <v>528323.5</v>
      </c>
      <c r="P26" s="31">
        <f t="shared" si="0"/>
        <v>12626.839415072696</v>
      </c>
      <c r="Q26" s="36" t="s">
        <v>104</v>
      </c>
    </row>
    <row r="27" spans="1:17" s="2" customFormat="1" ht="52.5" customHeight="1" thickBot="1">
      <c r="A27" s="12">
        <v>15</v>
      </c>
      <c r="B27" s="16" t="s">
        <v>7</v>
      </c>
      <c r="C27" s="45">
        <v>1977</v>
      </c>
      <c r="D27" s="45">
        <v>841.9</v>
      </c>
      <c r="E27" s="39">
        <f>E4/D56*D27</f>
        <v>49530.6082082329</v>
      </c>
      <c r="F27" s="56">
        <f>(F4/G4*D27)+1167.5</f>
        <v>34272.734321008895</v>
      </c>
      <c r="G27" s="39">
        <f>G5/D56*D27</f>
        <v>1815.6826759427784</v>
      </c>
      <c r="H27" s="55">
        <f>H4/D56*D27+2719.03+359</f>
        <v>5107.965544692889</v>
      </c>
      <c r="I27" s="56"/>
      <c r="J27" s="55">
        <v>3005.82</v>
      </c>
      <c r="K27" s="56">
        <f>K4/D56*D27</f>
        <v>43264.65882728494</v>
      </c>
      <c r="L27" s="39">
        <f t="shared" si="1"/>
        <v>23570.586129104835</v>
      </c>
      <c r="M27" s="39">
        <f t="shared" si="2"/>
        <v>136997.4695771624</v>
      </c>
      <c r="N27" s="63">
        <v>144239.93</v>
      </c>
      <c r="O27" s="63">
        <v>144664.95</v>
      </c>
      <c r="P27" s="31">
        <f t="shared" si="0"/>
        <v>7667.4804228376015</v>
      </c>
      <c r="Q27" s="35" t="s">
        <v>87</v>
      </c>
    </row>
    <row r="28" spans="1:17" s="2" customFormat="1" ht="52.5" customHeight="1" thickBot="1">
      <c r="A28" s="12">
        <v>16</v>
      </c>
      <c r="B28" s="16" t="s">
        <v>41</v>
      </c>
      <c r="C28" s="45">
        <v>1966</v>
      </c>
      <c r="D28" s="45">
        <v>180.9</v>
      </c>
      <c r="E28" s="39">
        <f>E4/D56*D28</f>
        <v>10642.697499547849</v>
      </c>
      <c r="F28" s="56">
        <v>0</v>
      </c>
      <c r="G28" s="39">
        <f>G5/D56*D28</f>
        <v>390.13777892629605</v>
      </c>
      <c r="H28" s="55">
        <f>(H4/D56*D28)</f>
        <v>436.1745338341176</v>
      </c>
      <c r="I28" s="109"/>
      <c r="J28" s="55">
        <v>841.34</v>
      </c>
      <c r="K28" s="56">
        <f>K4/D56*D28</f>
        <v>9296.325907893866</v>
      </c>
      <c r="L28" s="39">
        <f t="shared" si="1"/>
        <v>5064.638354620578</v>
      </c>
      <c r="M28" s="39">
        <f t="shared" si="2"/>
        <v>21606.675720202125</v>
      </c>
      <c r="N28" s="63">
        <v>30361.06</v>
      </c>
      <c r="O28" s="63">
        <v>30195.76</v>
      </c>
      <c r="P28" s="31">
        <f t="shared" si="0"/>
        <v>8589.084279797873</v>
      </c>
      <c r="Q28" s="35" t="s">
        <v>52</v>
      </c>
    </row>
    <row r="29" spans="1:17" s="2" customFormat="1" ht="47.25" customHeight="1" thickBot="1">
      <c r="A29" s="12">
        <v>17</v>
      </c>
      <c r="B29" s="16" t="s">
        <v>13</v>
      </c>
      <c r="C29" s="45">
        <v>1974</v>
      </c>
      <c r="D29" s="45">
        <v>715.6</v>
      </c>
      <c r="E29" s="39">
        <f>E4/D56*D29</f>
        <v>42100.13449793499</v>
      </c>
      <c r="F29" s="56">
        <f>(F4/G4*D29)+622.66</f>
        <v>28761.519342099975</v>
      </c>
      <c r="G29" s="39">
        <f>G5/D56*D29</f>
        <v>1543.2979248184492</v>
      </c>
      <c r="H29" s="55">
        <f>H4/D56*D29</f>
        <v>1725.4090459463491</v>
      </c>
      <c r="I29" s="56"/>
      <c r="J29" s="55">
        <v>3016.31</v>
      </c>
      <c r="K29" s="56">
        <f>K4/D56*D29</f>
        <v>36774.18916356468</v>
      </c>
      <c r="L29" s="39">
        <f t="shared" si="1"/>
        <v>20034.578256310037</v>
      </c>
      <c r="M29" s="39">
        <f t="shared" si="2"/>
        <v>113920.85997436443</v>
      </c>
      <c r="N29" s="63">
        <v>110281.14</v>
      </c>
      <c r="O29" s="63">
        <v>107180.65</v>
      </c>
      <c r="P29" s="31">
        <f t="shared" si="0"/>
        <v>-6740.209974364436</v>
      </c>
      <c r="Q29" s="35" t="s">
        <v>88</v>
      </c>
    </row>
    <row r="30" spans="1:17" s="2" customFormat="1" ht="47.25" customHeight="1" thickBot="1">
      <c r="A30" s="12">
        <v>18</v>
      </c>
      <c r="B30" s="16" t="s">
        <v>14</v>
      </c>
      <c r="C30" s="45">
        <v>1972</v>
      </c>
      <c r="D30" s="45">
        <v>714.9</v>
      </c>
      <c r="E30" s="39">
        <f>E4/D56*D30</f>
        <v>42058.95214166255</v>
      </c>
      <c r="F30" s="56">
        <f>(F4/G4*D30)+622.66</f>
        <v>28733.993906745767</v>
      </c>
      <c r="G30" s="39">
        <f>G5/D56*D30</f>
        <v>1541.7882706158598</v>
      </c>
      <c r="H30" s="55">
        <f>(H4/D56*D30)</f>
        <v>1723.7212506247135</v>
      </c>
      <c r="I30" s="56"/>
      <c r="J30" s="55">
        <v>3036.85</v>
      </c>
      <c r="K30" s="56">
        <f>K4/D56*D30</f>
        <v>36738.216647613735</v>
      </c>
      <c r="L30" s="39">
        <f t="shared" si="1"/>
        <v>20014.98042961996</v>
      </c>
      <c r="M30" s="39">
        <f t="shared" si="2"/>
        <v>113833.52221726262</v>
      </c>
      <c r="N30" s="63">
        <v>110189.22</v>
      </c>
      <c r="O30" s="63">
        <v>111269.27</v>
      </c>
      <c r="P30" s="31">
        <f t="shared" si="0"/>
        <v>-2564.2522172626195</v>
      </c>
      <c r="Q30" s="35" t="s">
        <v>89</v>
      </c>
    </row>
    <row r="31" spans="1:17" s="2" customFormat="1" ht="47.25" customHeight="1" thickBot="1">
      <c r="A31" s="12">
        <v>19</v>
      </c>
      <c r="B31" s="16" t="s">
        <v>15</v>
      </c>
      <c r="C31" s="45">
        <v>1971</v>
      </c>
      <c r="D31" s="45">
        <v>715.2</v>
      </c>
      <c r="E31" s="39">
        <f>E4/D56*D31</f>
        <v>42076.60172292217</v>
      </c>
      <c r="F31" s="56">
        <f>(F4/G4*D31)+622.67</f>
        <v>28745.80052189757</v>
      </c>
      <c r="G31" s="39">
        <f>G5/D56*D31</f>
        <v>1542.4352652741125</v>
      </c>
      <c r="H31" s="55">
        <f>H4/D56*D31</f>
        <v>1724.4445914768432</v>
      </c>
      <c r="I31" s="56"/>
      <c r="J31" s="55">
        <v>3026.58</v>
      </c>
      <c r="K31" s="56">
        <f>K4/D56*D31</f>
        <v>36753.63344016414</v>
      </c>
      <c r="L31" s="39">
        <f t="shared" si="1"/>
        <v>20023.379498201422</v>
      </c>
      <c r="M31" s="39">
        <f t="shared" si="2"/>
        <v>113869.49554173482</v>
      </c>
      <c r="N31" s="63">
        <v>109867.38</v>
      </c>
      <c r="O31" s="63">
        <v>105285.11</v>
      </c>
      <c r="P31" s="31">
        <f t="shared" si="0"/>
        <v>-8584.385541734824</v>
      </c>
      <c r="Q31" s="35" t="s">
        <v>54</v>
      </c>
    </row>
    <row r="32" spans="1:17" s="2" customFormat="1" ht="47.25" customHeight="1" thickBot="1">
      <c r="A32" s="12">
        <v>20</v>
      </c>
      <c r="B32" s="16" t="s">
        <v>16</v>
      </c>
      <c r="C32" s="45">
        <v>1981</v>
      </c>
      <c r="D32" s="45">
        <v>875.2</v>
      </c>
      <c r="E32" s="39">
        <f>E4/D56*D32</f>
        <v>51489.71172805018</v>
      </c>
      <c r="F32" s="56">
        <f>(F4/G4*D32)+840.6</f>
        <v>35255.258602858994</v>
      </c>
      <c r="G32" s="39">
        <f>G5/D56*D32</f>
        <v>1887.4990830088132</v>
      </c>
      <c r="H32" s="55">
        <f>(H4/D56*D32)+226.02+3354+46.98</f>
        <v>5737.226379279268</v>
      </c>
      <c r="I32" s="56"/>
      <c r="J32" s="55">
        <v>2800.5</v>
      </c>
      <c r="K32" s="56">
        <f>K4/D56*D32</f>
        <v>44975.92280037984</v>
      </c>
      <c r="L32" s="39">
        <f t="shared" si="1"/>
        <v>24502.882741646936</v>
      </c>
      <c r="M32" s="39">
        <f t="shared" si="2"/>
        <v>142146.1185935771</v>
      </c>
      <c r="N32" s="63">
        <v>151066</v>
      </c>
      <c r="O32" s="63">
        <v>151818.29</v>
      </c>
      <c r="P32" s="31">
        <f t="shared" si="0"/>
        <v>9672.171406422916</v>
      </c>
      <c r="Q32" s="36" t="s">
        <v>118</v>
      </c>
    </row>
    <row r="33" spans="1:17" s="2" customFormat="1" ht="52.5" customHeight="1" thickBot="1">
      <c r="A33" s="12">
        <v>21</v>
      </c>
      <c r="B33" s="16" t="s">
        <v>17</v>
      </c>
      <c r="C33" s="45">
        <v>1981</v>
      </c>
      <c r="D33" s="45">
        <v>875.4</v>
      </c>
      <c r="E33" s="39">
        <f>E4/D56*D33</f>
        <v>51501.47811555658</v>
      </c>
      <c r="F33" s="56">
        <f>(F4/G4*D33)+840.6</f>
        <v>35263.1230129602</v>
      </c>
      <c r="G33" s="39">
        <f>G5/D56*D33</f>
        <v>1887.9304127809814</v>
      </c>
      <c r="H33" s="55">
        <f>H4/D56*D33+46.98</f>
        <v>2157.688606514022</v>
      </c>
      <c r="I33" s="56"/>
      <c r="J33" s="55">
        <v>2800.5</v>
      </c>
      <c r="K33" s="56">
        <f>K4/D56*D33</f>
        <v>44986.200662080104</v>
      </c>
      <c r="L33" s="39">
        <f t="shared" si="1"/>
        <v>24508.48212070124</v>
      </c>
      <c r="M33" s="39">
        <f t="shared" si="2"/>
        <v>138596.9208098919</v>
      </c>
      <c r="N33" s="63">
        <v>149680.86</v>
      </c>
      <c r="O33" s="63">
        <v>137101.37</v>
      </c>
      <c r="P33" s="31">
        <f t="shared" si="0"/>
        <v>-1495.5508098918945</v>
      </c>
      <c r="Q33" s="36" t="s">
        <v>117</v>
      </c>
    </row>
    <row r="34" spans="1:17" s="2" customFormat="1" ht="47.25" customHeight="1" thickBot="1">
      <c r="A34" s="12">
        <v>22</v>
      </c>
      <c r="B34" s="16" t="s">
        <v>18</v>
      </c>
      <c r="C34" s="45">
        <v>1986</v>
      </c>
      <c r="D34" s="45">
        <v>3099.3</v>
      </c>
      <c r="E34" s="39">
        <f>E4/D56*D34</f>
        <v>182337.82399308262</v>
      </c>
      <c r="F34" s="56">
        <f>(F4/G4*D34)+1401</f>
        <v>123271.83113327342</v>
      </c>
      <c r="G34" s="39">
        <f>G5/D56*D34</f>
        <v>6684.101814407238</v>
      </c>
      <c r="H34" s="55">
        <f>(H4/D56*D34)+442.02+310.01+28253.28</f>
        <v>36478.14434335036</v>
      </c>
      <c r="I34" s="109">
        <f>67135.51+70535.1+73073.97+255</f>
        <v>210999.58</v>
      </c>
      <c r="J34" s="55"/>
      <c r="K34" s="56">
        <f>K4/D56*D34</f>
        <v>159270.8838382281</v>
      </c>
      <c r="L34" s="39">
        <f t="shared" si="1"/>
        <v>86770.77751506666</v>
      </c>
      <c r="M34" s="39">
        <f t="shared" si="2"/>
        <v>719042.3651223417</v>
      </c>
      <c r="N34" s="63">
        <v>546174.51</v>
      </c>
      <c r="O34" s="63">
        <v>524681.47</v>
      </c>
      <c r="P34" s="31">
        <f t="shared" si="0"/>
        <v>-194360.8951223417</v>
      </c>
      <c r="Q34" s="36" t="s">
        <v>133</v>
      </c>
    </row>
    <row r="35" spans="1:17" s="3" customFormat="1" ht="47.25" customHeight="1" thickBot="1">
      <c r="A35" s="12">
        <v>23</v>
      </c>
      <c r="B35" s="16" t="s">
        <v>19</v>
      </c>
      <c r="C35" s="45">
        <v>1981</v>
      </c>
      <c r="D35" s="45">
        <v>878.4</v>
      </c>
      <c r="E35" s="39">
        <f>E4/D56*D35</f>
        <v>51677.97392815273</v>
      </c>
      <c r="F35" s="56">
        <f>(F4/G4*D35)+840.6</f>
        <v>35381.089164478224</v>
      </c>
      <c r="G35" s="39">
        <f>G5/D56*D35</f>
        <v>1894.400359363507</v>
      </c>
      <c r="H35" s="55">
        <f>(H4/D56*D35)+112</f>
        <v>2229.942015035317</v>
      </c>
      <c r="I35" s="56">
        <v>24834.6</v>
      </c>
      <c r="J35" s="55">
        <v>2800.5</v>
      </c>
      <c r="K35" s="56">
        <f>K4/D56*D35</f>
        <v>45140.36858758415</v>
      </c>
      <c r="L35" s="39">
        <f t="shared" si="1"/>
        <v>24592.47280651584</v>
      </c>
      <c r="M35" s="39">
        <f t="shared" si="2"/>
        <v>163958.87405461393</v>
      </c>
      <c r="N35" s="63">
        <v>149509.42</v>
      </c>
      <c r="O35" s="63">
        <v>147044.62</v>
      </c>
      <c r="P35" s="31">
        <f t="shared" si="0"/>
        <v>-16914.254054613935</v>
      </c>
      <c r="Q35" s="36" t="s">
        <v>119</v>
      </c>
    </row>
    <row r="36" spans="1:17" s="3" customFormat="1" ht="47.25" customHeight="1" thickBot="1">
      <c r="A36" s="12">
        <v>24</v>
      </c>
      <c r="B36" s="16" t="s">
        <v>23</v>
      </c>
      <c r="C36" s="45">
        <v>1981</v>
      </c>
      <c r="D36" s="45">
        <v>858.9</v>
      </c>
      <c r="E36" s="39">
        <f>E4/D56*D36</f>
        <v>50530.751146277755</v>
      </c>
      <c r="F36" s="56">
        <f>(F4/G4*D36)+840.6</f>
        <v>34614.309179611046</v>
      </c>
      <c r="G36" s="39">
        <f>G5/D56*D36</f>
        <v>1852.3457065770904</v>
      </c>
      <c r="H36" s="55">
        <f>H4/D56*D36</f>
        <v>2070.9248596468965</v>
      </c>
      <c r="I36" s="56">
        <f>22167.59</f>
        <v>22167.59</v>
      </c>
      <c r="J36" s="55">
        <v>2800.5</v>
      </c>
      <c r="K36" s="56">
        <f>K4/D56*D36</f>
        <v>44138.27707180786</v>
      </c>
      <c r="L36" s="39">
        <f t="shared" si="1"/>
        <v>24046.53334872092</v>
      </c>
      <c r="M36" s="39">
        <f t="shared" si="2"/>
        <v>158174.69796392065</v>
      </c>
      <c r="N36" s="63">
        <v>146629.74</v>
      </c>
      <c r="O36" s="63">
        <v>136203.87</v>
      </c>
      <c r="P36" s="31">
        <f t="shared" si="0"/>
        <v>-21970.82796392066</v>
      </c>
      <c r="Q36" s="36" t="s">
        <v>134</v>
      </c>
    </row>
    <row r="37" spans="1:17" s="2" customFormat="1" ht="57" customHeight="1" thickBot="1">
      <c r="A37" s="12">
        <v>25</v>
      </c>
      <c r="B37" s="16" t="s">
        <v>20</v>
      </c>
      <c r="C37" s="45">
        <v>1983</v>
      </c>
      <c r="D37" s="45">
        <v>3016.4</v>
      </c>
      <c r="E37" s="39">
        <f>E4/D56*D37</f>
        <v>177460.65637167566</v>
      </c>
      <c r="F37" s="56">
        <f>(F4/G4*D37)+1401</f>
        <v>120012.03314632527</v>
      </c>
      <c r="G37" s="39">
        <f>G5/D56*D37</f>
        <v>6505.315623843446</v>
      </c>
      <c r="H37" s="55">
        <f>H4/D56*D37+2159.4+18852.8</f>
        <v>28285.15115454523</v>
      </c>
      <c r="I37" s="109">
        <f>47282.22+53122.19+255</f>
        <v>100659.41</v>
      </c>
      <c r="J37" s="55">
        <v>9612.16</v>
      </c>
      <c r="K37" s="56">
        <f>K4/D56*D37</f>
        <v>155010.71016346634</v>
      </c>
      <c r="L37" s="39">
        <f t="shared" si="1"/>
        <v>84449.83489705645</v>
      </c>
      <c r="M37" s="39">
        <f t="shared" si="2"/>
        <v>597545.436459856</v>
      </c>
      <c r="N37" s="63">
        <v>517912.7</v>
      </c>
      <c r="O37" s="63">
        <v>502874.38</v>
      </c>
      <c r="P37" s="31">
        <f t="shared" si="0"/>
        <v>-94671.05645985599</v>
      </c>
      <c r="Q37" s="35" t="s">
        <v>154</v>
      </c>
    </row>
    <row r="38" spans="1:17" s="2" customFormat="1" ht="47.25" customHeight="1" thickBot="1">
      <c r="A38" s="12">
        <v>26</v>
      </c>
      <c r="B38" s="16" t="s">
        <v>21</v>
      </c>
      <c r="C38" s="45">
        <v>1982</v>
      </c>
      <c r="D38" s="45">
        <v>878.3</v>
      </c>
      <c r="E38" s="39">
        <f>E4/D56*D38</f>
        <v>51672.09073439952</v>
      </c>
      <c r="F38" s="56">
        <f>(F4/G4*D38)+840.6</f>
        <v>35377.15695942762</v>
      </c>
      <c r="G38" s="39">
        <f>G5/D56*D38</f>
        <v>1894.184694477423</v>
      </c>
      <c r="H38" s="55">
        <f>H4/D56*D38+12228.88+3093.79</f>
        <v>17440.37090141794</v>
      </c>
      <c r="I38" s="56"/>
      <c r="J38" s="55">
        <v>2815.9</v>
      </c>
      <c r="K38" s="56">
        <f>K4/D56*D38</f>
        <v>45135.22965673401</v>
      </c>
      <c r="L38" s="39">
        <f t="shared" si="1"/>
        <v>24589.673116988684</v>
      </c>
      <c r="M38" s="39">
        <f t="shared" si="2"/>
        <v>154334.9329464565</v>
      </c>
      <c r="N38" s="63">
        <v>154466.99</v>
      </c>
      <c r="O38" s="63">
        <v>142314.46</v>
      </c>
      <c r="P38" s="31">
        <f t="shared" si="0"/>
        <v>-12020.472946456517</v>
      </c>
      <c r="Q38" s="36" t="s">
        <v>120</v>
      </c>
    </row>
    <row r="39" spans="1:17" s="2" customFormat="1" ht="39.75" customHeight="1" thickBot="1">
      <c r="A39" s="12">
        <v>27</v>
      </c>
      <c r="B39" s="16" t="s">
        <v>22</v>
      </c>
      <c r="C39" s="45">
        <v>1992</v>
      </c>
      <c r="D39" s="45">
        <v>2553.3</v>
      </c>
      <c r="E39" s="39">
        <f>E4/D56*D39</f>
        <v>150215.5861005833</v>
      </c>
      <c r="F39" s="56">
        <f>(F4/G4*D39)+1401</f>
        <v>101801.99155699255</v>
      </c>
      <c r="G39" s="39">
        <f>G5/D56*D39</f>
        <v>5506.5715363875715</v>
      </c>
      <c r="H39" s="55">
        <f>(H4/D56*D39)</f>
        <v>6156.3539924745855</v>
      </c>
      <c r="I39" s="56">
        <f>7252.43+11354.91</f>
        <v>18607.34</v>
      </c>
      <c r="J39" s="55">
        <v>13073.8</v>
      </c>
      <c r="K39" s="56">
        <f>K4/D56*D39</f>
        <v>131212.32139649204</v>
      </c>
      <c r="L39" s="39">
        <f t="shared" si="1"/>
        <v>71484.47269680887</v>
      </c>
      <c r="M39" s="39">
        <f t="shared" si="2"/>
        <v>426573.9645829301</v>
      </c>
      <c r="N39" s="63">
        <v>462426.41</v>
      </c>
      <c r="O39" s="63">
        <v>453675.33</v>
      </c>
      <c r="P39" s="31">
        <f t="shared" si="0"/>
        <v>27101.36541706993</v>
      </c>
      <c r="Q39" s="35" t="s">
        <v>55</v>
      </c>
    </row>
    <row r="40" spans="1:17" s="2" customFormat="1" ht="40.5" customHeight="1" thickBot="1">
      <c r="A40" s="12">
        <v>28</v>
      </c>
      <c r="B40" s="16" t="s">
        <v>24</v>
      </c>
      <c r="C40" s="45">
        <v>1987</v>
      </c>
      <c r="D40" s="45">
        <v>849.5</v>
      </c>
      <c r="E40" s="39">
        <f>E4/D56*D40</f>
        <v>49977.73093347649</v>
      </c>
      <c r="F40" s="56">
        <f>(F4/G4*D40)+1050.75</f>
        <v>34454.83190485457</v>
      </c>
      <c r="G40" s="39">
        <f>G5/D56*D40</f>
        <v>1832.0732072851767</v>
      </c>
      <c r="H40" s="55">
        <f>(H4/D56*D40)+57.01</f>
        <v>2105.2701796135043</v>
      </c>
      <c r="I40" s="56"/>
      <c r="J40" s="55">
        <v>2800.5</v>
      </c>
      <c r="K40" s="56">
        <f>K4/D56*D40</f>
        <v>43655.21757189519</v>
      </c>
      <c r="L40" s="39">
        <f t="shared" si="1"/>
        <v>23783.3625331685</v>
      </c>
      <c r="M40" s="39">
        <f t="shared" si="2"/>
        <v>134825.62379712495</v>
      </c>
      <c r="N40" s="63">
        <v>144737.91</v>
      </c>
      <c r="O40" s="63">
        <v>126604.57</v>
      </c>
      <c r="P40" s="31">
        <f t="shared" si="0"/>
        <v>-8221.053797124943</v>
      </c>
      <c r="Q40" s="36" t="s">
        <v>121</v>
      </c>
    </row>
    <row r="41" spans="1:17" s="2" customFormat="1" ht="37.5" customHeight="1" thickBot="1">
      <c r="A41" s="12">
        <v>29</v>
      </c>
      <c r="B41" s="16" t="s">
        <v>25</v>
      </c>
      <c r="C41" s="45">
        <v>1989</v>
      </c>
      <c r="D41" s="45">
        <v>856.7</v>
      </c>
      <c r="E41" s="39">
        <f>E4/D56*D41</f>
        <v>50401.320883707245</v>
      </c>
      <c r="F41" s="56">
        <f>(F4/G4*D41)+1050.75</f>
        <v>34737.95066849783</v>
      </c>
      <c r="G41" s="39">
        <f>G5/D56*D41</f>
        <v>1847.6010790832383</v>
      </c>
      <c r="H41" s="55">
        <f>H4/D56*D41+730+902</f>
        <v>3697.6203600646136</v>
      </c>
      <c r="I41" s="56"/>
      <c r="J41" s="55">
        <v>2815.9</v>
      </c>
      <c r="K41" s="56">
        <f>K4/D56*D41</f>
        <v>44025.220593104896</v>
      </c>
      <c r="L41" s="39">
        <f t="shared" si="1"/>
        <v>23984.940179123543</v>
      </c>
      <c r="M41" s="39">
        <f t="shared" si="2"/>
        <v>137525.61358445784</v>
      </c>
      <c r="N41" s="63">
        <v>145828.44</v>
      </c>
      <c r="O41" s="63">
        <v>137781.32</v>
      </c>
      <c r="P41" s="31">
        <f t="shared" si="0"/>
        <v>255.70641554216854</v>
      </c>
      <c r="Q41" s="36" t="s">
        <v>122</v>
      </c>
    </row>
    <row r="42" spans="1:17" s="2" customFormat="1" ht="42" customHeight="1" thickBot="1">
      <c r="A42" s="12">
        <v>30</v>
      </c>
      <c r="B42" s="16" t="s">
        <v>43</v>
      </c>
      <c r="C42" s="45">
        <v>1990</v>
      </c>
      <c r="D42" s="45">
        <v>996.3</v>
      </c>
      <c r="E42" s="39">
        <f>E4/D56*D42</f>
        <v>58614.25936318142</v>
      </c>
      <c r="F42" s="56">
        <f>(F4/G4*D42)+1050.75</f>
        <v>40227.308919136674</v>
      </c>
      <c r="G42" s="39">
        <f>(G5/D56*D42)+49301.54</f>
        <v>51450.20926005676</v>
      </c>
      <c r="H42" s="55">
        <f>(H4/D56*D42)</f>
        <v>2402.2149699222296</v>
      </c>
      <c r="I42" s="56">
        <f>34852+156</f>
        <v>35008</v>
      </c>
      <c r="J42" s="55"/>
      <c r="K42" s="56">
        <f>K4/D56*D42</f>
        <v>51199.16805989308</v>
      </c>
      <c r="L42" s="39">
        <f t="shared" si="1"/>
        <v>27893.30675902975</v>
      </c>
      <c r="M42" s="39">
        <f t="shared" si="2"/>
        <v>238901.1605721902</v>
      </c>
      <c r="N42" s="63">
        <v>203972.64</v>
      </c>
      <c r="O42" s="63">
        <v>179131.73</v>
      </c>
      <c r="P42" s="40">
        <f t="shared" si="0"/>
        <v>-59769.43057219018</v>
      </c>
      <c r="Q42" s="36" t="s">
        <v>105</v>
      </c>
    </row>
    <row r="43" spans="1:17" s="2" customFormat="1" ht="52.5" customHeight="1" thickBot="1">
      <c r="A43" s="12">
        <v>31</v>
      </c>
      <c r="B43" s="16" t="s">
        <v>44</v>
      </c>
      <c r="C43" s="45">
        <v>1990</v>
      </c>
      <c r="D43" s="46">
        <v>619</v>
      </c>
      <c r="E43" s="39">
        <f>E4/D56*D43</f>
        <v>36416.96933233896</v>
      </c>
      <c r="F43" s="56">
        <f>1050.75</f>
        <v>1050.75</v>
      </c>
      <c r="G43" s="39">
        <f>G5/D56*D43</f>
        <v>1334.9656448611236</v>
      </c>
      <c r="H43" s="55">
        <f>H4/D56*D43+130</f>
        <v>1622.4932915606346</v>
      </c>
      <c r="I43" s="109"/>
      <c r="J43" s="55"/>
      <c r="K43" s="56">
        <f>K4/D56*D43</f>
        <v>31809.98196233446</v>
      </c>
      <c r="L43" s="39">
        <f t="shared" si="1"/>
        <v>17330.07817307981</v>
      </c>
      <c r="M43" s="39">
        <f t="shared" si="2"/>
        <v>72235.16023109517</v>
      </c>
      <c r="N43" s="63">
        <v>104832.841</v>
      </c>
      <c r="O43" s="63">
        <v>79220.36</v>
      </c>
      <c r="P43" s="31">
        <f t="shared" si="0"/>
        <v>6985.199768904829</v>
      </c>
      <c r="Q43" s="36" t="s">
        <v>123</v>
      </c>
    </row>
    <row r="44" spans="1:17" s="2" customFormat="1" ht="52.5" customHeight="1" thickBot="1">
      <c r="A44" s="12">
        <v>32</v>
      </c>
      <c r="B44" s="16" t="s">
        <v>39</v>
      </c>
      <c r="C44" s="45">
        <v>1988</v>
      </c>
      <c r="D44" s="45">
        <v>373.2</v>
      </c>
      <c r="E44" s="39">
        <f>E4/D56*D44</f>
        <v>21956.079086961065</v>
      </c>
      <c r="F44" s="56">
        <f>(F4/G4*D44)</f>
        <v>14674.989248842523</v>
      </c>
      <c r="G44" s="39">
        <f>G5/D56*D44</f>
        <v>804.8613548661895</v>
      </c>
      <c r="H44" s="55">
        <f>H4/D56*D44</f>
        <v>899.836020049158</v>
      </c>
      <c r="I44" s="109"/>
      <c r="J44" s="55">
        <v>1487.63</v>
      </c>
      <c r="K44" s="56">
        <f>K4/D56*D44</f>
        <v>19178.4899327031</v>
      </c>
      <c r="L44" s="39">
        <f t="shared" si="1"/>
        <v>10448.44131533665</v>
      </c>
      <c r="M44" s="39">
        <f t="shared" si="2"/>
        <v>59001.885643422036</v>
      </c>
      <c r="N44" s="63">
        <v>57693.96</v>
      </c>
      <c r="O44" s="63">
        <v>47262.57</v>
      </c>
      <c r="P44" s="31">
        <f t="shared" si="0"/>
        <v>-11739.315643422036</v>
      </c>
      <c r="Q44" s="35" t="s">
        <v>101</v>
      </c>
    </row>
    <row r="45" spans="1:17" s="2" customFormat="1" ht="52.5" customHeight="1" thickBot="1">
      <c r="A45" s="12">
        <v>33</v>
      </c>
      <c r="B45" s="16" t="s">
        <v>26</v>
      </c>
      <c r="C45" s="45">
        <v>1964</v>
      </c>
      <c r="D45" s="45">
        <v>376.6</v>
      </c>
      <c r="E45" s="39">
        <f>E4/D56*D45</f>
        <v>22156.107674570037</v>
      </c>
      <c r="F45" s="56"/>
      <c r="G45" s="39">
        <f>G5/D56*D45</f>
        <v>812.193960993052</v>
      </c>
      <c r="H45" s="55">
        <f>H4/D56*D45</f>
        <v>908.0338830399596</v>
      </c>
      <c r="I45" s="109"/>
      <c r="J45" s="55">
        <v>1487.63</v>
      </c>
      <c r="K45" s="56">
        <f>K4/D56*D45</f>
        <v>19353.213581607688</v>
      </c>
      <c r="L45" s="39">
        <f t="shared" si="1"/>
        <v>10543.630759259868</v>
      </c>
      <c r="M45" s="39">
        <f t="shared" si="2"/>
        <v>44717.179100210735</v>
      </c>
      <c r="N45" s="63">
        <v>39768.96</v>
      </c>
      <c r="O45" s="63">
        <v>44658.71</v>
      </c>
      <c r="P45" s="31">
        <f t="shared" si="0"/>
        <v>-58.46910021073563</v>
      </c>
      <c r="Q45" s="35"/>
    </row>
    <row r="46" spans="1:17" s="2" customFormat="1" ht="52.5" customHeight="1" thickBot="1">
      <c r="A46" s="12">
        <v>34</v>
      </c>
      <c r="B46" s="16" t="s">
        <v>27</v>
      </c>
      <c r="C46" s="45">
        <v>1954</v>
      </c>
      <c r="D46" s="45">
        <v>400.3</v>
      </c>
      <c r="E46" s="39">
        <f>E4/D56*D46</f>
        <v>23550.42459407962</v>
      </c>
      <c r="F46" s="56"/>
      <c r="G46" s="39">
        <f>G5/D56*D46</f>
        <v>863.3065389950044</v>
      </c>
      <c r="H46" s="55">
        <f>H4/D56*D46</f>
        <v>965.1778103581939</v>
      </c>
      <c r="I46" s="109"/>
      <c r="J46" s="55">
        <v>3395.69</v>
      </c>
      <c r="K46" s="56">
        <f>K4/D56*D46</f>
        <v>20571.140193089635</v>
      </c>
      <c r="L46" s="39">
        <f t="shared" si="1"/>
        <v>11207.157177195233</v>
      </c>
      <c r="M46" s="39">
        <f t="shared" si="2"/>
        <v>49345.739136522454</v>
      </c>
      <c r="N46" s="63">
        <v>41500.8</v>
      </c>
      <c r="O46" s="63">
        <v>36482</v>
      </c>
      <c r="P46" s="31">
        <f t="shared" si="0"/>
        <v>-12863.739136522454</v>
      </c>
      <c r="Q46" s="35"/>
    </row>
    <row r="47" spans="1:17" s="2" customFormat="1" ht="52.5" customHeight="1" thickBot="1">
      <c r="A47" s="12">
        <v>35</v>
      </c>
      <c r="B47" s="16" t="s">
        <v>29</v>
      </c>
      <c r="C47" s="45">
        <v>1970</v>
      </c>
      <c r="D47" s="45">
        <v>708.6</v>
      </c>
      <c r="E47" s="39">
        <f>E4/D56*D47</f>
        <v>41688.31093521064</v>
      </c>
      <c r="F47" s="56">
        <f>1868</f>
        <v>1868</v>
      </c>
      <c r="G47" s="39">
        <f>G5/D56*D47</f>
        <v>1528.201382792556</v>
      </c>
      <c r="H47" s="55">
        <f>H4/D56*D47</f>
        <v>1708.5310927299931</v>
      </c>
      <c r="I47" s="109">
        <f>51957</f>
        <v>51957</v>
      </c>
      <c r="J47" s="55">
        <v>3026.58</v>
      </c>
      <c r="K47" s="56">
        <f>K4/D56*D47</f>
        <v>36414.46400405525</v>
      </c>
      <c r="L47" s="39">
        <f t="shared" si="1"/>
        <v>19838.599989409297</v>
      </c>
      <c r="M47" s="39">
        <f t="shared" si="2"/>
        <v>138191.08741478843</v>
      </c>
      <c r="N47" s="63">
        <v>90696.33</v>
      </c>
      <c r="O47" s="63">
        <v>90004.29</v>
      </c>
      <c r="P47" s="40">
        <f t="shared" si="0"/>
        <v>-48186.79741478844</v>
      </c>
      <c r="Q47" s="35" t="s">
        <v>90</v>
      </c>
    </row>
    <row r="48" spans="1:17" s="2" customFormat="1" ht="52.5" customHeight="1" thickBot="1">
      <c r="A48" s="12">
        <v>36</v>
      </c>
      <c r="B48" s="16" t="s">
        <v>30</v>
      </c>
      <c r="C48" s="45">
        <v>1983</v>
      </c>
      <c r="D48" s="45">
        <v>383.1</v>
      </c>
      <c r="E48" s="39">
        <f>E4/D56*D48</f>
        <v>22538.51526852836</v>
      </c>
      <c r="F48" s="56">
        <f>(F4/G4*D48)+934</f>
        <v>15998.277548852013</v>
      </c>
      <c r="G48" s="39">
        <f>G5/D56*D48</f>
        <v>826.2121785885241</v>
      </c>
      <c r="H48" s="55">
        <f>H4/D56*D48</f>
        <v>923.7062681694332</v>
      </c>
      <c r="I48" s="109"/>
      <c r="J48" s="55">
        <v>1292.93</v>
      </c>
      <c r="K48" s="56">
        <f>K4/D56*D48</f>
        <v>19687.24408686645</v>
      </c>
      <c r="L48" s="39">
        <f t="shared" si="1"/>
        <v>10725.61057852484</v>
      </c>
      <c r="M48" s="39">
        <f t="shared" si="2"/>
        <v>61266.88535100478</v>
      </c>
      <c r="N48" s="63">
        <v>65303.16</v>
      </c>
      <c r="O48" s="63">
        <v>56839.57</v>
      </c>
      <c r="P48" s="31">
        <f t="shared" si="0"/>
        <v>-4427.315351004778</v>
      </c>
      <c r="Q48" s="35" t="s">
        <v>91</v>
      </c>
    </row>
    <row r="49" spans="1:17" s="2" customFormat="1" ht="52.5" customHeight="1" thickBot="1">
      <c r="A49" s="12">
        <v>37</v>
      </c>
      <c r="B49" s="33" t="s">
        <v>31</v>
      </c>
      <c r="C49" s="45">
        <v>1987</v>
      </c>
      <c r="D49" s="45">
        <v>4309.4</v>
      </c>
      <c r="E49" s="39">
        <f>E4/D56*D49</f>
        <v>253530.3516006163</v>
      </c>
      <c r="F49" s="56">
        <f>(F4/G4*D49)+934</f>
        <v>170388.44445059478</v>
      </c>
      <c r="G49" s="39">
        <f>G5/D56*D49</f>
        <v>9293.862600911996</v>
      </c>
      <c r="H49" s="55">
        <f>(H4/D56*D49)+1585+55.01+1155</f>
        <v>13185.560227223583</v>
      </c>
      <c r="I49" s="109">
        <f>3382+3299.79</f>
        <v>6681.79</v>
      </c>
      <c r="J49" s="55"/>
      <c r="K49" s="56">
        <f>K4/D56*D49</f>
        <v>221457.08605570937</v>
      </c>
      <c r="L49" s="39">
        <f t="shared" si="1"/>
        <v>120649.82048315046</v>
      </c>
      <c r="M49" s="39">
        <f t="shared" si="2"/>
        <v>674537.0949350559</v>
      </c>
      <c r="N49" s="63">
        <v>755752.88</v>
      </c>
      <c r="O49" s="63">
        <v>738505.21</v>
      </c>
      <c r="P49" s="31">
        <f t="shared" si="0"/>
        <v>63968.115064944024</v>
      </c>
      <c r="Q49" s="36" t="s">
        <v>106</v>
      </c>
    </row>
    <row r="50" spans="1:17" s="2" customFormat="1" ht="52.5" customHeight="1" thickBot="1">
      <c r="A50" s="12">
        <v>38</v>
      </c>
      <c r="B50" s="16" t="s">
        <v>32</v>
      </c>
      <c r="C50" s="45">
        <v>1986</v>
      </c>
      <c r="D50" s="45">
        <v>841.6</v>
      </c>
      <c r="E50" s="39">
        <f>E4/D56*D50</f>
        <v>49512.95862697329</v>
      </c>
      <c r="F50" s="56">
        <f>(F4/G4*D50)</f>
        <v>33093.4377058571</v>
      </c>
      <c r="G50" s="39">
        <f>G5/D56*D50</f>
        <v>1815.035681284526</v>
      </c>
      <c r="H50" s="55">
        <f>(H4/D56*D50)+1902</f>
        <v>3931.2122038407597</v>
      </c>
      <c r="I50" s="109">
        <f>2531</f>
        <v>2531</v>
      </c>
      <c r="J50" s="55"/>
      <c r="K50" s="56">
        <f>K4/D56*D50</f>
        <v>43249.24203473454</v>
      </c>
      <c r="L50" s="39">
        <f t="shared" si="1"/>
        <v>23562.187060523374</v>
      </c>
      <c r="M50" s="39">
        <f t="shared" si="2"/>
        <v>134132.88625269022</v>
      </c>
      <c r="N50" s="63">
        <v>146420.14</v>
      </c>
      <c r="O50" s="63">
        <v>142058.92</v>
      </c>
      <c r="P50" s="31">
        <f t="shared" si="0"/>
        <v>7926.03374730979</v>
      </c>
      <c r="Q50" s="36" t="s">
        <v>107</v>
      </c>
    </row>
    <row r="51" spans="1:18" s="2" customFormat="1" ht="52.5" customHeight="1" thickBot="1">
      <c r="A51" s="12">
        <v>39</v>
      </c>
      <c r="B51" s="17" t="s">
        <v>33</v>
      </c>
      <c r="C51" s="45">
        <v>1987</v>
      </c>
      <c r="D51" s="45">
        <v>872.5</v>
      </c>
      <c r="E51" s="39">
        <f>E4/D56*D51</f>
        <v>51330.86549671364</v>
      </c>
      <c r="F51" s="56">
        <f>(F4/G4*D51)+1167.5</f>
        <v>35475.98906649277</v>
      </c>
      <c r="G51" s="39">
        <f>G5/D56*D51</f>
        <v>1881.67613108454</v>
      </c>
      <c r="H51" s="55">
        <f>(H4/D56*D51)+2402</f>
        <v>4505.716311610103</v>
      </c>
      <c r="I51" s="109"/>
      <c r="J51" s="55">
        <v>2800.5</v>
      </c>
      <c r="K51" s="56">
        <f>K4/D56*D51</f>
        <v>44837.1716674262</v>
      </c>
      <c r="L51" s="39">
        <f t="shared" si="1"/>
        <v>24427.29112441379</v>
      </c>
      <c r="M51" s="39">
        <f t="shared" si="2"/>
        <v>140831.91867332725</v>
      </c>
      <c r="N51" s="63">
        <v>148419.84</v>
      </c>
      <c r="O51" s="63">
        <v>147314.05</v>
      </c>
      <c r="P51" s="31">
        <f t="shared" si="0"/>
        <v>6482.1313266727375</v>
      </c>
      <c r="Q51" s="36" t="s">
        <v>114</v>
      </c>
      <c r="R51" s="2" t="s">
        <v>110</v>
      </c>
    </row>
    <row r="52" spans="1:17" s="2" customFormat="1" ht="52.5" customHeight="1" thickBot="1">
      <c r="A52" s="12">
        <v>40</v>
      </c>
      <c r="B52" s="17" t="s">
        <v>34</v>
      </c>
      <c r="C52" s="45">
        <v>1983</v>
      </c>
      <c r="D52" s="45">
        <v>826.2</v>
      </c>
      <c r="E52" s="39">
        <f>E4/D56*D52</f>
        <v>48606.94678897972</v>
      </c>
      <c r="F52" s="56">
        <f>(F4/G4*D52)</f>
        <v>32487.87812806456</v>
      </c>
      <c r="G52" s="39">
        <f>G5/D56*D52</f>
        <v>1781.823288827561</v>
      </c>
      <c r="H52" s="55">
        <f>H4/D56*D52+5681.46</f>
        <v>7673.540706764776</v>
      </c>
      <c r="I52" s="109"/>
      <c r="J52" s="55">
        <v>2800.5</v>
      </c>
      <c r="K52" s="56">
        <f>K4/D56*D52</f>
        <v>42457.84668381378</v>
      </c>
      <c r="L52" s="39">
        <f t="shared" si="1"/>
        <v>23131.03487334175</v>
      </c>
      <c r="M52" s="39">
        <f t="shared" si="2"/>
        <v>135808.5355964504</v>
      </c>
      <c r="N52" s="63">
        <v>140885.1</v>
      </c>
      <c r="O52" s="63">
        <v>141146.33</v>
      </c>
      <c r="P52" s="31">
        <f t="shared" si="0"/>
        <v>5337.794403549575</v>
      </c>
      <c r="Q52" s="36" t="s">
        <v>126</v>
      </c>
    </row>
    <row r="53" spans="1:17" s="2" customFormat="1" ht="52.5" customHeight="1" thickBot="1">
      <c r="A53" s="12">
        <v>41</v>
      </c>
      <c r="B53" s="16" t="s">
        <v>35</v>
      </c>
      <c r="C53" s="45">
        <v>1987</v>
      </c>
      <c r="D53" s="45">
        <v>4280.1</v>
      </c>
      <c r="E53" s="39">
        <f>E4/D56*D53</f>
        <v>251806.5758309273</v>
      </c>
      <c r="F53" s="56">
        <f>(F4/G4*D53)+1167.5</f>
        <v>169469.80837076873</v>
      </c>
      <c r="G53" s="39">
        <f>G5/D56*D53</f>
        <v>9230.67278928933</v>
      </c>
      <c r="H53" s="55">
        <f>(H4/D56*D53)+11720.22+1233.5+2619.9+737+2935+224.02+3828.65+830</f>
        <v>34448.19393733227</v>
      </c>
      <c r="I53" s="109">
        <f>3382+3307.91</f>
        <v>6689.91</v>
      </c>
      <c r="J53" s="55"/>
      <c r="K53" s="56">
        <f>K4/D56*D53</f>
        <v>219951.37931661992</v>
      </c>
      <c r="L53" s="39">
        <f t="shared" si="1"/>
        <v>119829.51145169452</v>
      </c>
      <c r="M53" s="39">
        <f t="shared" si="2"/>
        <v>691596.5402449375</v>
      </c>
      <c r="N53" s="63">
        <v>737008.44</v>
      </c>
      <c r="O53" s="63">
        <v>713705.48</v>
      </c>
      <c r="P53" s="31">
        <f t="shared" si="0"/>
        <v>22108.939755062456</v>
      </c>
      <c r="Q53" s="36" t="s">
        <v>108</v>
      </c>
    </row>
    <row r="54" spans="1:17" s="2" customFormat="1" ht="53.25" customHeight="1" thickBot="1">
      <c r="A54" s="12">
        <v>42</v>
      </c>
      <c r="B54" s="32" t="s">
        <v>36</v>
      </c>
      <c r="C54" s="62">
        <v>1985</v>
      </c>
      <c r="D54" s="62">
        <v>4234.9</v>
      </c>
      <c r="E54" s="63">
        <f>E4/D56*D54</f>
        <v>249147.37225447857</v>
      </c>
      <c r="F54" s="64">
        <f>(F4/G4*D54)+1167.5</f>
        <v>167692.45168789712</v>
      </c>
      <c r="G54" s="63">
        <f>G5/D56*D54</f>
        <v>9133.192260779275</v>
      </c>
      <c r="H54" s="64">
        <f>(H4/D56*D54)+99.01+3674</f>
        <v>13983.930582278079</v>
      </c>
      <c r="I54" s="111">
        <f>12261.06</f>
        <v>12261.06</v>
      </c>
      <c r="J54" s="64"/>
      <c r="K54" s="64">
        <f>K4/D56*D54</f>
        <v>217628.58257235895</v>
      </c>
      <c r="L54" s="63">
        <f t="shared" si="1"/>
        <v>118564.05178542115</v>
      </c>
      <c r="M54" s="63">
        <f t="shared" si="2"/>
        <v>669846.5893577919</v>
      </c>
      <c r="N54" s="63">
        <v>722735.42</v>
      </c>
      <c r="O54" s="63">
        <v>685995.77</v>
      </c>
      <c r="P54" s="31">
        <f t="shared" si="0"/>
        <v>16149.180642208084</v>
      </c>
      <c r="Q54" s="35" t="s">
        <v>92</v>
      </c>
    </row>
    <row r="55" spans="1:17" s="2" customFormat="1" ht="52.5" customHeight="1" thickBot="1">
      <c r="A55" s="12">
        <v>43</v>
      </c>
      <c r="B55" s="17" t="s">
        <v>37</v>
      </c>
      <c r="C55" s="45">
        <v>1986</v>
      </c>
      <c r="D55" s="45">
        <v>843.8</v>
      </c>
      <c r="E55" s="39">
        <f>E4/D56*D55</f>
        <v>49642.3888895438</v>
      </c>
      <c r="F55" s="56">
        <f>(F4/G4*D55)+1868</f>
        <v>35047.94621697031</v>
      </c>
      <c r="G55" s="39">
        <f>G5/D56*D55</f>
        <v>1819.780308778378</v>
      </c>
      <c r="H55" s="55">
        <f>H4/D56*D55+795</f>
        <v>2829.5167034230426</v>
      </c>
      <c r="I55" s="109"/>
      <c r="J55" s="55">
        <v>2800.5</v>
      </c>
      <c r="K55" s="56">
        <f>K4/D56*D55</f>
        <v>43362.298513437505</v>
      </c>
      <c r="L55" s="39">
        <f t="shared" si="1"/>
        <v>23623.780230120752</v>
      </c>
      <c r="M55" s="39">
        <f t="shared" si="2"/>
        <v>135502.43063215303</v>
      </c>
      <c r="N55" s="63">
        <v>144031.91</v>
      </c>
      <c r="O55" s="63">
        <v>145179.7</v>
      </c>
      <c r="P55" s="31">
        <f t="shared" si="0"/>
        <v>9677.26936784698</v>
      </c>
      <c r="Q55" s="35" t="s">
        <v>93</v>
      </c>
    </row>
    <row r="56" spans="1:17" s="28" customFormat="1" ht="52.5" customHeight="1" thickBot="1">
      <c r="A56" s="114"/>
      <c r="B56" s="115" t="s">
        <v>67</v>
      </c>
      <c r="C56" s="116"/>
      <c r="D56" s="117">
        <f aca="true" t="shared" si="3" ref="D56:I56">SUM(D13:D55)</f>
        <v>64469.54000000001</v>
      </c>
      <c r="E56" s="31">
        <f t="shared" si="3"/>
        <v>3792867.949999999</v>
      </c>
      <c r="F56" s="31">
        <f t="shared" si="3"/>
        <v>2483034.873752728</v>
      </c>
      <c r="G56" s="31">
        <f>SUM(G13:G55)</f>
        <v>368371.7099999999</v>
      </c>
      <c r="H56" s="31">
        <f t="shared" si="3"/>
        <v>360754.11</v>
      </c>
      <c r="I56" s="112">
        <f t="shared" si="3"/>
        <v>755766.5900000001</v>
      </c>
      <c r="J56" s="31">
        <f aca="true" t="shared" si="4" ref="J56:P56">SUM(J13:J55)</f>
        <v>105921.04999999999</v>
      </c>
      <c r="K56" s="31">
        <f t="shared" si="4"/>
        <v>3313045.0800000015</v>
      </c>
      <c r="L56" s="31">
        <f t="shared" si="4"/>
        <v>1804946.9595839994</v>
      </c>
      <c r="M56" s="31">
        <f t="shared" si="4"/>
        <v>11179761.363752725</v>
      </c>
      <c r="N56" s="31">
        <f t="shared" si="4"/>
        <v>10992911.311</v>
      </c>
      <c r="O56" s="31">
        <f t="shared" si="4"/>
        <v>10507347.290000003</v>
      </c>
      <c r="P56" s="31">
        <f t="shared" si="4"/>
        <v>-672414.0737527278</v>
      </c>
      <c r="Q56" s="118"/>
    </row>
    <row r="57" spans="1:17" s="28" customFormat="1" ht="52.5" customHeight="1" thickBot="1">
      <c r="A57" s="52" t="s">
        <v>2</v>
      </c>
      <c r="B57" s="53" t="s">
        <v>68</v>
      </c>
      <c r="C57" s="54">
        <v>1973</v>
      </c>
      <c r="D57" s="61">
        <v>331.1</v>
      </c>
      <c r="E57" s="55">
        <f>E3/D72*$D$57</f>
        <v>4033.7580054894793</v>
      </c>
      <c r="F57" s="55">
        <v>0</v>
      </c>
      <c r="G57" s="55">
        <f>G6/D72*D57</f>
        <v>533.432769136932</v>
      </c>
      <c r="H57" s="110"/>
      <c r="I57" s="110">
        <f>8793.25</f>
        <v>8793.25</v>
      </c>
      <c r="J57" s="55"/>
      <c r="K57" s="55">
        <f>(K3/D72*D57)+622.7</f>
        <v>17637.70951509607</v>
      </c>
      <c r="L57" s="55">
        <f>K57*54.48%</f>
        <v>9609.024143824337</v>
      </c>
      <c r="M57" s="56">
        <f t="shared" si="2"/>
        <v>30998.150289722482</v>
      </c>
      <c r="N57" s="64">
        <v>54471.84</v>
      </c>
      <c r="O57" s="64">
        <v>42710.65</v>
      </c>
      <c r="P57" s="31">
        <f aca="true" t="shared" si="5" ref="P57:P71">O57-M57</f>
        <v>11712.49971027752</v>
      </c>
      <c r="Q57" s="57" t="s">
        <v>128</v>
      </c>
    </row>
    <row r="58" spans="1:17" ht="52.5" customHeight="1" thickBot="1">
      <c r="A58" s="15">
        <v>2</v>
      </c>
      <c r="B58" s="16" t="s">
        <v>69</v>
      </c>
      <c r="C58" s="49">
        <v>1976</v>
      </c>
      <c r="D58" s="49">
        <v>371.4</v>
      </c>
      <c r="E58" s="41">
        <f>E3/D72*D58</f>
        <v>4524.728853031689</v>
      </c>
      <c r="F58" s="55">
        <v>0</v>
      </c>
      <c r="G58" s="41">
        <f>G6/D72*D58</f>
        <v>598.3598020460784</v>
      </c>
      <c r="H58" s="110">
        <v>0</v>
      </c>
      <c r="I58" s="110">
        <f>8793.25</f>
        <v>8793.25</v>
      </c>
      <c r="J58" s="55"/>
      <c r="K58" s="55">
        <f>(K3/D72*D58)+622.7</f>
        <v>19708.6998003826</v>
      </c>
      <c r="L58" s="41">
        <f aca="true" t="shared" si="6" ref="L58:L71">K58*54.48%</f>
        <v>10737.29965124844</v>
      </c>
      <c r="M58" s="39">
        <f t="shared" si="2"/>
        <v>33625.038455460366</v>
      </c>
      <c r="N58" s="63">
        <v>55439.64</v>
      </c>
      <c r="O58" s="63">
        <v>51256.55</v>
      </c>
      <c r="P58" s="31">
        <f t="shared" si="5"/>
        <v>17631.511544539637</v>
      </c>
      <c r="Q58" s="35" t="s">
        <v>94</v>
      </c>
    </row>
    <row r="59" spans="1:17" ht="52.5" customHeight="1" thickBot="1">
      <c r="A59" s="15">
        <v>3</v>
      </c>
      <c r="B59" s="16" t="s">
        <v>70</v>
      </c>
      <c r="C59" s="49">
        <v>1975</v>
      </c>
      <c r="D59" s="49">
        <v>371.4</v>
      </c>
      <c r="E59" s="41">
        <f>E3/D72*D59</f>
        <v>4524.728853031689</v>
      </c>
      <c r="F59" s="55">
        <v>0</v>
      </c>
      <c r="G59" s="41">
        <f>G6/D72*D59</f>
        <v>598.3598020460784</v>
      </c>
      <c r="H59" s="110"/>
      <c r="I59" s="110"/>
      <c r="J59" s="55"/>
      <c r="K59" s="55">
        <f>K3/D72*D59+622.7</f>
        <v>19708.6998003826</v>
      </c>
      <c r="L59" s="41">
        <f t="shared" si="6"/>
        <v>10737.29965124844</v>
      </c>
      <c r="M59" s="39">
        <f t="shared" si="2"/>
        <v>24831.78845546037</v>
      </c>
      <c r="N59" s="63">
        <v>39551.52</v>
      </c>
      <c r="O59" s="63">
        <v>28005.87</v>
      </c>
      <c r="P59" s="31">
        <f t="shared" si="5"/>
        <v>3174.0815445396292</v>
      </c>
      <c r="Q59" s="36" t="s">
        <v>109</v>
      </c>
    </row>
    <row r="60" spans="1:17" ht="52.5" customHeight="1" thickBot="1">
      <c r="A60" s="15">
        <v>4</v>
      </c>
      <c r="B60" s="16" t="s">
        <v>71</v>
      </c>
      <c r="C60" s="49">
        <v>1986</v>
      </c>
      <c r="D60" s="49">
        <v>496.8</v>
      </c>
      <c r="E60" s="41">
        <f>E3/D72*D60</f>
        <v>6052.4644431506285</v>
      </c>
      <c r="F60" s="55">
        <v>0</v>
      </c>
      <c r="G60" s="41">
        <f>G6/D72*D60</f>
        <v>800.3908175996008</v>
      </c>
      <c r="H60" s="110">
        <f>1650+1696.98</f>
        <v>3346.98</v>
      </c>
      <c r="I60" s="110">
        <f>3722.36+65.12</f>
        <v>3787.48</v>
      </c>
      <c r="J60" s="55"/>
      <c r="K60" s="55">
        <f>K3/D72*D60+934</f>
        <v>26464.222673209686</v>
      </c>
      <c r="L60" s="41">
        <f t="shared" si="6"/>
        <v>14417.708512364636</v>
      </c>
      <c r="M60" s="39">
        <f t="shared" si="2"/>
        <v>40451.53793395992</v>
      </c>
      <c r="N60" s="63">
        <v>74425.62</v>
      </c>
      <c r="O60" s="63">
        <v>64966.09</v>
      </c>
      <c r="P60" s="40">
        <f t="shared" si="5"/>
        <v>24514.55206604008</v>
      </c>
      <c r="Q60" s="36" t="s">
        <v>129</v>
      </c>
    </row>
    <row r="61" spans="1:17" ht="52.5" customHeight="1" thickBot="1">
      <c r="A61" s="15">
        <v>5</v>
      </c>
      <c r="B61" s="16" t="s">
        <v>72</v>
      </c>
      <c r="C61" s="49">
        <v>1981</v>
      </c>
      <c r="D61" s="49">
        <v>500.6</v>
      </c>
      <c r="E61" s="41">
        <f>E3/D72*D61</f>
        <v>6098.759461033021</v>
      </c>
      <c r="F61" s="55">
        <v>0</v>
      </c>
      <c r="G61" s="41">
        <f>G6/D72*D61</f>
        <v>806.5129695860713</v>
      </c>
      <c r="H61" s="110">
        <v>0</v>
      </c>
      <c r="I61" s="110">
        <v>0</v>
      </c>
      <c r="J61" s="55"/>
      <c r="K61" s="55">
        <f>K3/D72*D61+934</f>
        <v>26659.502154204445</v>
      </c>
      <c r="L61" s="41">
        <f t="shared" si="6"/>
        <v>14524.096773610581</v>
      </c>
      <c r="M61" s="39">
        <f t="shared" si="2"/>
        <v>33564.774584823535</v>
      </c>
      <c r="N61" s="63">
        <v>74027.1</v>
      </c>
      <c r="O61" s="63">
        <v>74809.92</v>
      </c>
      <c r="P61" s="40">
        <f t="shared" si="5"/>
        <v>41245.14541517646</v>
      </c>
      <c r="Q61" s="36" t="s">
        <v>130</v>
      </c>
    </row>
    <row r="62" spans="1:17" ht="52.5" customHeight="1" thickBot="1">
      <c r="A62" s="15">
        <v>6</v>
      </c>
      <c r="B62" s="16" t="s">
        <v>73</v>
      </c>
      <c r="C62" s="49">
        <v>1985</v>
      </c>
      <c r="D62" s="49">
        <v>491.2</v>
      </c>
      <c r="E62" s="41">
        <f>E3/D72*D62</f>
        <v>5984.240206271314</v>
      </c>
      <c r="F62" s="55">
        <v>0</v>
      </c>
      <c r="G62" s="41">
        <f>G6/D72*D62</f>
        <v>791.3686988826971</v>
      </c>
      <c r="H62" s="110"/>
      <c r="I62" s="110">
        <f>70000</f>
        <v>70000</v>
      </c>
      <c r="J62" s="55"/>
      <c r="K62" s="55">
        <f>K3/D72*D62+622.7</f>
        <v>25865.142385427935</v>
      </c>
      <c r="L62" s="41">
        <f t="shared" si="6"/>
        <v>14091.329571581138</v>
      </c>
      <c r="M62" s="39">
        <f t="shared" si="2"/>
        <v>102640.75129058195</v>
      </c>
      <c r="N62" s="63">
        <v>75913.14</v>
      </c>
      <c r="O62" s="63">
        <v>77363.05</v>
      </c>
      <c r="P62" s="40">
        <f t="shared" si="5"/>
        <v>-25277.701290581943</v>
      </c>
      <c r="Q62" s="36" t="s">
        <v>136</v>
      </c>
    </row>
    <row r="63" spans="1:17" ht="52.5" customHeight="1" thickBot="1">
      <c r="A63" s="15">
        <v>7</v>
      </c>
      <c r="B63" s="16" t="s">
        <v>74</v>
      </c>
      <c r="C63" s="49">
        <v>1966</v>
      </c>
      <c r="D63" s="49">
        <v>358.1</v>
      </c>
      <c r="E63" s="41">
        <f>E3/D72*D63</f>
        <v>4362.696290443318</v>
      </c>
      <c r="F63" s="55">
        <v>0</v>
      </c>
      <c r="G63" s="41">
        <f>G6/D72*D63</f>
        <v>576.9322700934322</v>
      </c>
      <c r="H63" s="110">
        <v>0</v>
      </c>
      <c r="I63" s="110">
        <f>12111.88</f>
        <v>12111.88</v>
      </c>
      <c r="J63" s="55"/>
      <c r="K63" s="55">
        <f>K3/D72*D63+622.7</f>
        <v>19025.221616900944</v>
      </c>
      <c r="L63" s="41">
        <f t="shared" si="6"/>
        <v>10364.940736887633</v>
      </c>
      <c r="M63" s="39">
        <f t="shared" si="2"/>
        <v>36076.7301774377</v>
      </c>
      <c r="N63" s="63">
        <v>55899.9</v>
      </c>
      <c r="O63" s="63">
        <v>53717.67</v>
      </c>
      <c r="P63" s="40">
        <f t="shared" si="5"/>
        <v>17640.9398225623</v>
      </c>
      <c r="Q63" s="36" t="s">
        <v>131</v>
      </c>
    </row>
    <row r="64" spans="1:17" ht="52.5" customHeight="1" thickBot="1">
      <c r="A64" s="15">
        <v>8</v>
      </c>
      <c r="B64" s="16" t="s">
        <v>75</v>
      </c>
      <c r="C64" s="49">
        <v>1985</v>
      </c>
      <c r="D64" s="49">
        <v>485.2</v>
      </c>
      <c r="E64" s="41">
        <f>E3/D72*D64</f>
        <v>5911.142809614906</v>
      </c>
      <c r="F64" s="55">
        <v>0</v>
      </c>
      <c r="G64" s="41">
        <f>G6/D72*D64</f>
        <v>781.702143114586</v>
      </c>
      <c r="H64" s="110">
        <v>0</v>
      </c>
      <c r="I64" s="110">
        <f>70000</f>
        <v>70000</v>
      </c>
      <c r="J64" s="55"/>
      <c r="K64" s="55">
        <f>K3/D72*D64+622.7</f>
        <v>25556.80636280463</v>
      </c>
      <c r="L64" s="41">
        <f t="shared" si="6"/>
        <v>13923.34810645596</v>
      </c>
      <c r="M64" s="39">
        <f t="shared" si="2"/>
        <v>102249.65131553411</v>
      </c>
      <c r="N64" s="63">
        <v>74992.98</v>
      </c>
      <c r="O64" s="63">
        <v>59020.89</v>
      </c>
      <c r="P64" s="40">
        <f t="shared" si="5"/>
        <v>-43228.76131553411</v>
      </c>
      <c r="Q64" s="36" t="s">
        <v>135</v>
      </c>
    </row>
    <row r="65" spans="1:17" ht="52.5" customHeight="1" thickBot="1">
      <c r="A65" s="15">
        <v>9</v>
      </c>
      <c r="B65" s="16" t="s">
        <v>76</v>
      </c>
      <c r="C65" s="49">
        <v>1962</v>
      </c>
      <c r="D65" s="50">
        <v>378</v>
      </c>
      <c r="E65" s="41">
        <f>E3/D72*D65</f>
        <v>4605.135989353739</v>
      </c>
      <c r="F65" s="55">
        <v>0</v>
      </c>
      <c r="G65" s="41">
        <f>G6/D72*D65</f>
        <v>608.9930133910007</v>
      </c>
      <c r="H65" s="110">
        <v>0</v>
      </c>
      <c r="I65" s="110">
        <v>0</v>
      </c>
      <c r="J65" s="55"/>
      <c r="K65" s="55">
        <f>K3/D72*D65+934</f>
        <v>20359.16942526824</v>
      </c>
      <c r="L65" s="41">
        <f t="shared" si="6"/>
        <v>11091.675502886135</v>
      </c>
      <c r="M65" s="39">
        <f t="shared" si="2"/>
        <v>25573.29842801298</v>
      </c>
      <c r="N65" s="63">
        <v>-8025.46</v>
      </c>
      <c r="O65" s="63">
        <v>5407.82</v>
      </c>
      <c r="P65" s="40">
        <f t="shared" si="5"/>
        <v>-20165.47842801298</v>
      </c>
      <c r="Q65" s="35"/>
    </row>
    <row r="66" spans="1:17" ht="52.5" customHeight="1" thickBot="1">
      <c r="A66" s="15">
        <v>10</v>
      </c>
      <c r="B66" s="16" t="s">
        <v>77</v>
      </c>
      <c r="C66" s="49">
        <v>1963</v>
      </c>
      <c r="D66" s="49">
        <v>361.7</v>
      </c>
      <c r="E66" s="41">
        <f>E3/D72*D66</f>
        <v>4406.554728437162</v>
      </c>
      <c r="F66" s="55">
        <v>0</v>
      </c>
      <c r="G66" s="41">
        <f>G6/D72*D66</f>
        <v>582.7322035542987</v>
      </c>
      <c r="H66" s="110">
        <v>0</v>
      </c>
      <c r="I66" s="110">
        <v>0</v>
      </c>
      <c r="J66" s="55"/>
      <c r="K66" s="55">
        <f>K3/D72*D66+934</f>
        <v>19521.523230474926</v>
      </c>
      <c r="L66" s="41">
        <f t="shared" si="6"/>
        <v>10635.32585596274</v>
      </c>
      <c r="M66" s="39">
        <f t="shared" si="2"/>
        <v>24510.810162466387</v>
      </c>
      <c r="N66" s="63">
        <v>53936.82</v>
      </c>
      <c r="O66" s="63">
        <v>48341.37</v>
      </c>
      <c r="P66" s="40">
        <f t="shared" si="5"/>
        <v>23830.559837533616</v>
      </c>
      <c r="Q66" s="35" t="s">
        <v>97</v>
      </c>
    </row>
    <row r="67" spans="1:17" ht="52.5" customHeight="1" thickBot="1">
      <c r="A67" s="15">
        <v>11</v>
      </c>
      <c r="B67" s="16" t="s">
        <v>78</v>
      </c>
      <c r="C67" s="49">
        <v>1968</v>
      </c>
      <c r="D67" s="49">
        <v>361.7</v>
      </c>
      <c r="E67" s="41">
        <f>E3/D72*D67</f>
        <v>4406.554728437162</v>
      </c>
      <c r="F67" s="55">
        <v>0</v>
      </c>
      <c r="G67" s="41">
        <f>G6/D72*D67</f>
        <v>582.7322035542987</v>
      </c>
      <c r="H67" s="110">
        <v>0</v>
      </c>
      <c r="I67" s="110">
        <v>0</v>
      </c>
      <c r="J67" s="55"/>
      <c r="K67" s="55">
        <f>K3/D72*D67+934</f>
        <v>19521.523230474926</v>
      </c>
      <c r="L67" s="41">
        <f t="shared" si="6"/>
        <v>10635.32585596274</v>
      </c>
      <c r="M67" s="39">
        <f t="shared" si="2"/>
        <v>24510.810162466387</v>
      </c>
      <c r="N67" s="63">
        <v>47848.32</v>
      </c>
      <c r="O67" s="63">
        <v>42102.38</v>
      </c>
      <c r="P67" s="40">
        <f t="shared" si="5"/>
        <v>17591.56983753361</v>
      </c>
      <c r="Q67" s="35" t="s">
        <v>96</v>
      </c>
    </row>
    <row r="68" spans="1:17" ht="52.5" customHeight="1" thickBot="1">
      <c r="A68" s="15">
        <v>12</v>
      </c>
      <c r="B68" s="16" t="s">
        <v>79</v>
      </c>
      <c r="C68" s="49">
        <v>1969</v>
      </c>
      <c r="D68" s="50">
        <v>336</v>
      </c>
      <c r="E68" s="41">
        <f>E3/D72*D68</f>
        <v>4093.4542127588793</v>
      </c>
      <c r="F68" s="55">
        <v>0</v>
      </c>
      <c r="G68" s="41">
        <f>G6/D72*D68</f>
        <v>541.3271230142228</v>
      </c>
      <c r="H68" s="110"/>
      <c r="I68" s="110">
        <f>10116+7426.9</f>
        <v>17542.9</v>
      </c>
      <c r="J68" s="55"/>
      <c r="K68" s="55">
        <f>K3/D72*D68+934</f>
        <v>18200.817266905102</v>
      </c>
      <c r="L68" s="41">
        <f t="shared" si="6"/>
        <v>9915.8052470099</v>
      </c>
      <c r="M68" s="39">
        <f t="shared" si="2"/>
        <v>40378.498602678206</v>
      </c>
      <c r="N68" s="63">
        <v>54105.36</v>
      </c>
      <c r="O68" s="63">
        <v>52171.67</v>
      </c>
      <c r="P68" s="40">
        <f t="shared" si="5"/>
        <v>11793.171397321792</v>
      </c>
      <c r="Q68" s="36" t="s">
        <v>127</v>
      </c>
    </row>
    <row r="69" spans="1:17" ht="52.5" customHeight="1" thickBot="1">
      <c r="A69" s="15">
        <v>13</v>
      </c>
      <c r="B69" s="16" t="s">
        <v>80</v>
      </c>
      <c r="C69" s="49">
        <v>1971</v>
      </c>
      <c r="D69" s="50">
        <v>750.2</v>
      </c>
      <c r="E69" s="41">
        <f>E3/D72*D69</f>
        <v>9139.611161939618</v>
      </c>
      <c r="F69" s="55">
        <v>0</v>
      </c>
      <c r="G69" s="41">
        <f>G6/D72*D69</f>
        <v>1208.6416895394939</v>
      </c>
      <c r="H69" s="110">
        <v>0</v>
      </c>
      <c r="I69" s="110">
        <v>0</v>
      </c>
      <c r="J69" s="55"/>
      <c r="K69" s="55">
        <f>K3/D72*D69+1245.33</f>
        <v>39797.610695333955</v>
      </c>
      <c r="L69" s="41">
        <f t="shared" si="6"/>
        <v>21681.738306817937</v>
      </c>
      <c r="M69" s="39">
        <f t="shared" si="2"/>
        <v>50145.86354681307</v>
      </c>
      <c r="N69" s="63">
        <v>100613.81</v>
      </c>
      <c r="O69" s="63">
        <v>76992.22</v>
      </c>
      <c r="P69" s="40">
        <f t="shared" si="5"/>
        <v>26846.356453186934</v>
      </c>
      <c r="Q69" s="36" t="s">
        <v>132</v>
      </c>
    </row>
    <row r="70" spans="1:17" ht="52.5" customHeight="1" thickBot="1">
      <c r="A70" s="15">
        <v>14</v>
      </c>
      <c r="B70" s="16" t="s">
        <v>81</v>
      </c>
      <c r="C70" s="49">
        <v>1979</v>
      </c>
      <c r="D70" s="49">
        <v>810.2</v>
      </c>
      <c r="E70" s="41">
        <f>E3/D72*D70</f>
        <v>9870.585128503702</v>
      </c>
      <c r="F70" s="55">
        <v>0</v>
      </c>
      <c r="G70" s="41">
        <f>G6/D72*D70</f>
        <v>1305.3072472206052</v>
      </c>
      <c r="H70" s="110">
        <f>1998.9</f>
        <v>1998.9</v>
      </c>
      <c r="I70" s="110">
        <f>6000</f>
        <v>6000</v>
      </c>
      <c r="J70" s="55"/>
      <c r="K70" s="55">
        <f>K3/D72*D70+1245.33</f>
        <v>42880.97092156701</v>
      </c>
      <c r="L70" s="41">
        <f t="shared" si="6"/>
        <v>23361.552958069704</v>
      </c>
      <c r="M70" s="39">
        <f t="shared" si="2"/>
        <v>62055.76329729131</v>
      </c>
      <c r="N70" s="63">
        <v>119379.84</v>
      </c>
      <c r="O70" s="63">
        <v>93662.1</v>
      </c>
      <c r="P70" s="40">
        <f t="shared" si="5"/>
        <v>31606.336702708693</v>
      </c>
      <c r="Q70" s="35" t="s">
        <v>95</v>
      </c>
    </row>
    <row r="71" spans="1:17" s="28" customFormat="1" ht="52.5" customHeight="1" thickBot="1">
      <c r="A71" s="52">
        <v>15</v>
      </c>
      <c r="B71" s="53" t="s">
        <v>82</v>
      </c>
      <c r="C71" s="54">
        <v>1979</v>
      </c>
      <c r="D71" s="54">
        <v>810.2</v>
      </c>
      <c r="E71" s="41">
        <f>E3/D72*D71</f>
        <v>9870.585128503702</v>
      </c>
      <c r="F71" s="55">
        <v>0</v>
      </c>
      <c r="G71" s="41">
        <f>G6/D72*D71</f>
        <v>1305.3072472206052</v>
      </c>
      <c r="H71" s="55">
        <f>4291.78</f>
        <v>4291.78</v>
      </c>
      <c r="I71" s="110">
        <f>9158+33485.22+51000</f>
        <v>93643.22</v>
      </c>
      <c r="J71" s="55"/>
      <c r="K71" s="55">
        <f>(K3/D72*D71)+1245.33</f>
        <v>42880.97092156701</v>
      </c>
      <c r="L71" s="55">
        <f t="shared" si="6"/>
        <v>23361.552958069704</v>
      </c>
      <c r="M71" s="56">
        <f t="shared" si="2"/>
        <v>151991.8632972913</v>
      </c>
      <c r="N71" s="63">
        <v>117289.86</v>
      </c>
      <c r="O71" s="63">
        <v>101984.13</v>
      </c>
      <c r="P71" s="31">
        <f t="shared" si="5"/>
        <v>-50007.7332972913</v>
      </c>
      <c r="Q71" s="57" t="s">
        <v>111</v>
      </c>
    </row>
    <row r="72" spans="1:17" ht="52.5" customHeight="1" thickBot="1">
      <c r="A72" s="25"/>
      <c r="B72" s="18" t="s">
        <v>38</v>
      </c>
      <c r="C72" s="47"/>
      <c r="D72" s="48">
        <f>SUM(D57:D71)</f>
        <v>7213.799999999999</v>
      </c>
      <c r="E72" s="40">
        <f>SUM(E57:E71)</f>
        <v>87885.00000000001</v>
      </c>
      <c r="F72" s="31">
        <f aca="true" t="shared" si="7" ref="F72:P72">SUM(F57:F71)</f>
        <v>0</v>
      </c>
      <c r="G72" s="40">
        <f>SUM(G57:G71)</f>
        <v>11622.1</v>
      </c>
      <c r="H72" s="31">
        <f t="shared" si="7"/>
        <v>9637.66</v>
      </c>
      <c r="I72" s="112">
        <f t="shared" si="7"/>
        <v>290671.98</v>
      </c>
      <c r="J72" s="31">
        <f t="shared" si="7"/>
        <v>0</v>
      </c>
      <c r="K72" s="31">
        <f t="shared" si="7"/>
        <v>383788.5900000001</v>
      </c>
      <c r="L72" s="40">
        <f t="shared" si="7"/>
        <v>209088.02383200004</v>
      </c>
      <c r="M72" s="40">
        <f>SUM(M57:M71)</f>
        <v>783605.3300000001</v>
      </c>
      <c r="N72" s="40">
        <f t="shared" si="7"/>
        <v>989870.2899999998</v>
      </c>
      <c r="O72" s="40">
        <f t="shared" si="7"/>
        <v>872512.38</v>
      </c>
      <c r="P72" s="31">
        <f t="shared" si="7"/>
        <v>88907.04999999996</v>
      </c>
      <c r="Q72" s="35"/>
    </row>
    <row r="73" spans="1:18" ht="52.5" customHeight="1" thickBot="1">
      <c r="A73" s="15" t="s">
        <v>2</v>
      </c>
      <c r="B73" s="16" t="s">
        <v>83</v>
      </c>
      <c r="C73" s="49">
        <v>1966</v>
      </c>
      <c r="D73" s="50">
        <v>434.8</v>
      </c>
      <c r="E73" s="41">
        <v>0</v>
      </c>
      <c r="F73" s="55">
        <v>0</v>
      </c>
      <c r="G73" s="41">
        <f>G7/D76*D73</f>
        <v>2688.4247820536207</v>
      </c>
      <c r="H73" s="110">
        <v>0</v>
      </c>
      <c r="I73" s="110">
        <v>0</v>
      </c>
      <c r="J73" s="55"/>
      <c r="K73" s="55">
        <f>K2/D76*D73+1868</f>
        <v>24212.084935254425</v>
      </c>
      <c r="L73" s="41">
        <f>K73*54.5%</f>
        <v>13195.586289713663</v>
      </c>
      <c r="M73" s="41">
        <f>SUM(E73:K73)</f>
        <v>26900.509717308047</v>
      </c>
      <c r="N73" s="41">
        <v>54852.36</v>
      </c>
      <c r="O73" s="41">
        <v>33021.94</v>
      </c>
      <c r="P73" s="30">
        <f>O73-M73</f>
        <v>6121.430282691956</v>
      </c>
      <c r="Q73" s="36" t="s">
        <v>139</v>
      </c>
      <c r="R73" s="37" t="s">
        <v>138</v>
      </c>
    </row>
    <row r="74" spans="1:17" ht="52.5" customHeight="1" thickBot="1">
      <c r="A74" s="15">
        <v>2</v>
      </c>
      <c r="B74" s="16" t="s">
        <v>84</v>
      </c>
      <c r="C74" s="49">
        <v>1956</v>
      </c>
      <c r="D74" s="49">
        <v>380.7</v>
      </c>
      <c r="E74" s="41">
        <v>0</v>
      </c>
      <c r="F74" s="55">
        <v>0</v>
      </c>
      <c r="G74" s="41">
        <f>G7/D76*D74</f>
        <v>2353.917466715302</v>
      </c>
      <c r="H74" s="110">
        <v>0</v>
      </c>
      <c r="I74" s="110">
        <f>15526.66</f>
        <v>15526.66</v>
      </c>
      <c r="J74" s="55"/>
      <c r="K74" s="55">
        <f>K2/D76*D74+934</f>
        <v>20497.921653291996</v>
      </c>
      <c r="L74" s="41">
        <f>K74*54.5%</f>
        <v>11171.367301044138</v>
      </c>
      <c r="M74" s="41">
        <f>SUM(E74:K74)</f>
        <v>38378.4991200073</v>
      </c>
      <c r="N74" s="41">
        <v>30827.34</v>
      </c>
      <c r="O74" s="41">
        <v>29826.62</v>
      </c>
      <c r="P74" s="30">
        <f>O74-M74</f>
        <v>-8551.8791200073</v>
      </c>
      <c r="Q74" s="36" t="s">
        <v>140</v>
      </c>
    </row>
    <row r="75" spans="1:17" ht="52.5" customHeight="1">
      <c r="A75" s="15">
        <v>3</v>
      </c>
      <c r="B75" s="16" t="s">
        <v>85</v>
      </c>
      <c r="C75" s="49">
        <v>1962</v>
      </c>
      <c r="D75" s="49">
        <v>281.1</v>
      </c>
      <c r="E75" s="41">
        <v>0</v>
      </c>
      <c r="F75" s="55">
        <v>0</v>
      </c>
      <c r="G75" s="41">
        <f>G7/D76*D75</f>
        <v>1738.0777512310783</v>
      </c>
      <c r="H75" s="110">
        <v>0</v>
      </c>
      <c r="I75" s="110">
        <f>7763.33</f>
        <v>7763.33</v>
      </c>
      <c r="J75" s="55"/>
      <c r="K75" s="55">
        <f>K2/D76*D75+934</f>
        <v>15379.543411453587</v>
      </c>
      <c r="L75" s="41">
        <f>K75*54.5%</f>
        <v>8381.851159242206</v>
      </c>
      <c r="M75" s="41">
        <f>SUM(E75:K75)</f>
        <v>24880.951162684665</v>
      </c>
      <c r="N75" s="41">
        <v>24911.82</v>
      </c>
      <c r="O75" s="41">
        <v>21285.09</v>
      </c>
      <c r="P75" s="30">
        <f>O75-M75</f>
        <v>-3595.861162684665</v>
      </c>
      <c r="Q75" s="36" t="s">
        <v>137</v>
      </c>
    </row>
    <row r="76" spans="1:17" ht="52.5" customHeight="1">
      <c r="A76" s="25"/>
      <c r="B76" s="18" t="s">
        <v>38</v>
      </c>
      <c r="C76" s="47"/>
      <c r="D76" s="48">
        <f aca="true" t="shared" si="8" ref="D76:P76">SUM(D73:D75)</f>
        <v>1096.6</v>
      </c>
      <c r="E76" s="48">
        <f t="shared" si="8"/>
        <v>0</v>
      </c>
      <c r="F76" s="31">
        <f t="shared" si="8"/>
        <v>0</v>
      </c>
      <c r="G76" s="40">
        <f t="shared" si="8"/>
        <v>6780.42</v>
      </c>
      <c r="H76" s="31">
        <f t="shared" si="8"/>
        <v>0</v>
      </c>
      <c r="I76" s="112">
        <f t="shared" si="8"/>
        <v>23289.989999999998</v>
      </c>
      <c r="J76" s="31">
        <f t="shared" si="8"/>
        <v>0</v>
      </c>
      <c r="K76" s="31">
        <f t="shared" si="8"/>
        <v>60089.55000000001</v>
      </c>
      <c r="L76" s="40">
        <f t="shared" si="8"/>
        <v>32748.80475000001</v>
      </c>
      <c r="M76" s="40">
        <f t="shared" si="8"/>
        <v>90159.96</v>
      </c>
      <c r="N76" s="40">
        <f t="shared" si="8"/>
        <v>110591.51999999999</v>
      </c>
      <c r="O76" s="40">
        <f t="shared" si="8"/>
        <v>84133.65</v>
      </c>
      <c r="P76" s="31">
        <f t="shared" si="8"/>
        <v>-6026.310000000009</v>
      </c>
      <c r="Q76" s="26"/>
    </row>
    <row r="77" spans="1:17" ht="44.25" customHeight="1" thickBot="1">
      <c r="A77" s="13">
        <v>61</v>
      </c>
      <c r="B77" s="14" t="s">
        <v>86</v>
      </c>
      <c r="C77" s="51"/>
      <c r="D77" s="42">
        <f>D76+D72+D56</f>
        <v>72779.94</v>
      </c>
      <c r="E77" s="42">
        <f aca="true" t="shared" si="9" ref="E77:P77">E76+E72+E56</f>
        <v>3880752.949999999</v>
      </c>
      <c r="F77" s="29">
        <f t="shared" si="9"/>
        <v>2483034.873752728</v>
      </c>
      <c r="G77" s="42">
        <f t="shared" si="9"/>
        <v>386774.2299999999</v>
      </c>
      <c r="H77" s="29">
        <f t="shared" si="9"/>
        <v>370391.76999999996</v>
      </c>
      <c r="I77" s="113">
        <f t="shared" si="9"/>
        <v>1069728.56</v>
      </c>
      <c r="J77" s="29">
        <f t="shared" si="9"/>
        <v>105921.04999999999</v>
      </c>
      <c r="K77" s="29">
        <f t="shared" si="9"/>
        <v>3756923.2200000016</v>
      </c>
      <c r="L77" s="42">
        <f t="shared" si="9"/>
        <v>2046783.7881659993</v>
      </c>
      <c r="M77" s="42">
        <f t="shared" si="9"/>
        <v>12053526.653752726</v>
      </c>
      <c r="N77" s="42">
        <f t="shared" si="9"/>
        <v>12093373.121000001</v>
      </c>
      <c r="O77" s="42">
        <f t="shared" si="9"/>
        <v>11463993.320000002</v>
      </c>
      <c r="P77" s="29">
        <f t="shared" si="9"/>
        <v>-589533.3337527278</v>
      </c>
      <c r="Q77" s="27"/>
    </row>
    <row r="78" spans="1:17" ht="52.5" customHeight="1">
      <c r="A78" s="90" t="s">
        <v>66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1:16" ht="52.5" customHeight="1">
      <c r="A79" s="2" t="s">
        <v>152</v>
      </c>
      <c r="B79" s="5"/>
      <c r="C79" s="4"/>
      <c r="D79" s="6"/>
      <c r="P79" s="28"/>
    </row>
    <row r="80" spans="1:4" ht="52.5" customHeight="1">
      <c r="A80" s="2" t="s">
        <v>98</v>
      </c>
      <c r="B80" s="5"/>
      <c r="C80" s="4"/>
      <c r="D80" s="6"/>
    </row>
    <row r="81" spans="1:4" ht="52.5" customHeight="1">
      <c r="A81" s="2" t="s">
        <v>150</v>
      </c>
      <c r="B81" s="5"/>
      <c r="C81" s="4"/>
      <c r="D81" s="6"/>
    </row>
    <row r="82" spans="1:4" ht="52.5" customHeight="1">
      <c r="A82" s="11"/>
      <c r="B82" s="5"/>
      <c r="C82" s="4"/>
      <c r="D82" s="6"/>
    </row>
    <row r="83" spans="1:4" ht="52.5" customHeight="1">
      <c r="A83" s="1"/>
      <c r="B83" s="8"/>
      <c r="C83" s="9"/>
      <c r="D83" s="10"/>
    </row>
    <row r="84" spans="2:4" ht="52.5" customHeight="1">
      <c r="B84" s="7"/>
      <c r="C84" s="7"/>
      <c r="D84" s="7"/>
    </row>
    <row r="85" spans="2:4" ht="52.5" customHeight="1">
      <c r="B85" s="7"/>
      <c r="C85" s="7"/>
      <c r="D85" s="7"/>
    </row>
  </sheetData>
  <sheetProtection/>
  <mergeCells count="20">
    <mergeCell ref="A78:Q78"/>
    <mergeCell ref="C10:C11"/>
    <mergeCell ref="D10:D11"/>
    <mergeCell ref="E9:P9"/>
    <mergeCell ref="A9:D9"/>
    <mergeCell ref="E10:E11"/>
    <mergeCell ref="F10:F11"/>
    <mergeCell ref="G10:G11"/>
    <mergeCell ref="O10:O11"/>
    <mergeCell ref="P10:P11"/>
    <mergeCell ref="A8:P8"/>
    <mergeCell ref="Q8:Q11"/>
    <mergeCell ref="A10:A11"/>
    <mergeCell ref="H10:H11"/>
    <mergeCell ref="I10:I11"/>
    <mergeCell ref="J10:J11"/>
    <mergeCell ref="K10:L10"/>
    <mergeCell ref="M10:M11"/>
    <mergeCell ref="N10:N11"/>
    <mergeCell ref="B10:B11"/>
  </mergeCells>
  <printOptions/>
  <pageMargins left="0.1968503937007874" right="0" top="0.15748031496062992" bottom="0.1968503937007874" header="0" footer="0"/>
  <pageSetup horizontalDpi="600" verticalDpi="600" orientation="landscape" paperSize="9" scale="75" r:id="rId1"/>
  <rowBreaks count="1" manualBreakCount="1"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2017-10-11T04:57:40Z</cp:lastPrinted>
  <dcterms:created xsi:type="dcterms:W3CDTF">2011-01-17T06:18:12Z</dcterms:created>
  <dcterms:modified xsi:type="dcterms:W3CDTF">2018-05-21T07:15:32Z</dcterms:modified>
  <cp:category/>
  <cp:version/>
  <cp:contentType/>
  <cp:contentStatus/>
</cp:coreProperties>
</file>