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'Sheet1'!$A$1:$Q$81</definedName>
  </definedNames>
  <calcPr fullCalcOnLoad="1"/>
</workbook>
</file>

<file path=xl/sharedStrings.xml><?xml version="1.0" encoding="utf-8"?>
<sst xmlns="http://schemas.openxmlformats.org/spreadsheetml/2006/main" count="165" uniqueCount="162">
  <si>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</si>
  <si>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</si>
  <si>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</si>
  <si>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</si>
  <si>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</si>
  <si>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</si>
  <si>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</si>
  <si>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</si>
  <si>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</si>
  <si>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</si>
  <si>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</si>
  <si>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</si>
  <si>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</si>
  <si>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</si>
  <si>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</si>
  <si>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</si>
  <si>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</si>
  <si>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</si>
  <si>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</si>
  <si>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</si>
  <si>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</si>
  <si>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</si>
  <si>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</si>
  <si>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</si>
  <si>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</si>
  <si>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</si>
  <si>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</si>
  <si>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</si>
  <si>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</si>
  <si>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</si>
  <si>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</si>
  <si>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</si>
  <si>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</si>
  <si>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</si>
  <si>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</si>
  <si>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</si>
  <si>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</si>
  <si>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</si>
  <si>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</si>
  <si>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</si>
  <si>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</si>
  <si>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</si>
  <si>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</si>
  <si>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</si>
  <si>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</si>
  <si>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</si>
  <si>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</si>
  <si>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</si>
  <si>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</si>
  <si>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</si>
  <si>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</si>
  <si>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</si>
  <si>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</si>
  <si>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</si>
  <si>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</si>
  <si>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</si>
  <si>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</si>
  <si>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</si>
  <si>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</si>
  <si>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</si>
  <si>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</si>
  <si>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</si>
  <si>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</si>
  <si>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</si>
  <si>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</si>
  <si>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</si>
  <si>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</si>
  <si>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</si>
  <si>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</si>
  <si>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</si>
  <si>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</si>
  <si>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</si>
  <si>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</si>
  <si>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</si>
  <si>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</si>
  <si>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</si>
  <si>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</si>
  <si>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</si>
  <si>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</si>
  <si>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</si>
  <si>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</si>
  <si>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</si>
  <si>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</si>
  <si>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</si>
  <si>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</si>
  <si>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</si>
  <si>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</si>
  <si>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</si>
  <si>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</si>
  <si>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</si>
  <si>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</si>
  <si>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</si>
  <si>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</si>
  <si>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</si>
  <si>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</si>
  <si>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</si>
  <si>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</si>
  <si>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</si>
  <si>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</si>
  <si>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</si>
  <si>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</si>
  <si>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</si>
  <si>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</si>
  <si>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</si>
  <si>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</si>
  <si>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</si>
  <si>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</si>
  <si>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</si>
  <si>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</si>
  <si>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</si>
  <si>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</si>
  <si>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</si>
  <si>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</si>
  <si>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</si>
  <si>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</si>
  <si>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</si>
  <si>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</si>
  <si>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</si>
  <si>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</si>
  <si>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</si>
  <si>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</si>
  <si>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</si>
  <si>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</si>
  <si>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</si>
  <si>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</si>
  <si>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</si>
  <si>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</si>
  <si>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</si>
  <si>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</si>
  <si>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</si>
  <si>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</si>
  <si>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</si>
  <si>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</si>
  <si>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</si>
  <si>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</si>
  <si>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</si>
  <si>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</si>
  <si>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</si>
  <si>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</si>
  <si>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</si>
  <si>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</si>
  <si>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з/п Каменское с\п по обслуживанию</t>
  </si>
  <si>
    <t>з п дворников</t>
  </si>
  <si>
    <t>площадь санит обслуж м2</t>
  </si>
  <si>
    <t>Березкино затраты по управ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</si>
  <si>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</si>
  <si>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</si>
  <si>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</si>
  <si>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</si>
  <si>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</si>
  <si>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</si>
  <si>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</si>
  <si>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>ОДН Кардымово</t>
  </si>
  <si>
    <t>ОДН Каменка</t>
  </si>
  <si>
    <t xml:space="preserve">ОДН Березкинское </t>
  </si>
  <si>
    <t>12-ти квартирный жилой дом № 31 , ул. Льнозаводская, д.Пищулино</t>
  </si>
  <si>
    <t>18-ти квартирный жилой дом № 15 , ул. Школа-интернат, д.Пищулино</t>
  </si>
  <si>
    <t>18-ти квартирный жилой дом № 14 , ул. Школа-интернат, д.Пищулино</t>
  </si>
  <si>
    <t>ОТЧЕТ ПО МНОГОКВАРТИРНЫМ ДОМАМ ЗА 2018 Г.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</si>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</sst>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2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8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horizontal="center"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4" xfId="0" applyNumberFormat="1" applyFont="1" applyFill="1" applyBorder="1" applyAlignment="1" applyProtection="1">
      <alignment horizontal="center" vertical="top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2" fontId="1" fillId="33" borderId="16" xfId="0" applyNumberFormat="1" applyFont="1" applyFill="1" applyBorder="1" applyAlignment="1" applyProtection="1">
      <alignment horizontal="center" vertical="top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8" xfId="0" applyNumberFormat="1" applyFont="1" applyFill="1" applyBorder="1" applyAlignment="1" applyProtection="1">
      <alignment horizontal="center" vertical="top"/>
      <protection/>
    </xf>
    <xf numFmtId="0" fontId="7" fillId="33" borderId="16" xfId="0" applyNumberFormat="1" applyFont="1" applyFill="1" applyBorder="1" applyAlignment="1" applyProtection="1">
      <alignment horizontal="left" vertical="top"/>
      <protection/>
    </xf>
    <xf numFmtId="0" fontId="1" fillId="33" borderId="16" xfId="0" applyNumberFormat="1" applyFont="1" applyFill="1" applyBorder="1" applyAlignment="1" applyProtection="1">
      <alignment horizontal="center" vertical="top"/>
      <protection/>
    </xf>
    <xf numFmtId="172" fontId="1" fillId="33" borderId="16" xfId="0" applyNumberFormat="1" applyFont="1" applyFill="1" applyBorder="1" applyAlignment="1" applyProtection="1">
      <alignment horizontal="center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172" fontId="0" fillId="33" borderId="12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0" fontId="4" fillId="33" borderId="20" xfId="0" applyNumberFormat="1" applyFont="1" applyFill="1" applyBorder="1" applyAlignment="1" applyProtection="1">
      <alignment horizontal="center" vertical="top"/>
      <protection/>
    </xf>
    <xf numFmtId="0" fontId="4" fillId="33" borderId="21" xfId="0" applyNumberFormat="1" applyFont="1" applyFill="1" applyBorder="1" applyAlignment="1" applyProtection="1">
      <alignment horizontal="center" vertical="top"/>
      <protection/>
    </xf>
    <xf numFmtId="0" fontId="4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2" fontId="6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23" xfId="0" applyNumberFormat="1" applyFont="1" applyFill="1" applyBorder="1" applyAlignment="1" applyProtection="1">
      <alignment vertical="top"/>
      <protection/>
    </xf>
    <xf numFmtId="0" fontId="4" fillId="33" borderId="24" xfId="0" applyNumberFormat="1" applyFont="1" applyFill="1" applyBorder="1" applyAlignment="1" applyProtection="1">
      <alignment horizontal="left" vertical="top"/>
      <protection/>
    </xf>
    <xf numFmtId="0" fontId="5" fillId="33" borderId="17" xfId="0" applyNumberFormat="1" applyFont="1" applyFill="1" applyBorder="1" applyAlignment="1" applyProtection="1">
      <alignment vertical="top"/>
      <protection/>
    </xf>
    <xf numFmtId="0" fontId="6" fillId="33" borderId="17" xfId="0" applyNumberFormat="1" applyFont="1" applyFill="1" applyBorder="1" applyAlignment="1" applyProtection="1">
      <alignment horizontal="center" vertical="top"/>
      <protection/>
    </xf>
    <xf numFmtId="2" fontId="6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25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 wrapText="1"/>
      <protection/>
    </xf>
    <xf numFmtId="0" fontId="53" fillId="33" borderId="0" xfId="0" applyNumberFormat="1" applyFont="1" applyFill="1" applyBorder="1" applyAlignment="1" applyProtection="1">
      <alignment vertical="top" wrapText="1"/>
      <protection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0" xfId="0" applyNumberFormat="1" applyFont="1" applyFill="1" applyBorder="1" applyAlignment="1" applyProtection="1">
      <alignment horizontal="center" vertical="center" wrapText="1"/>
      <protection/>
    </xf>
    <xf numFmtId="2" fontId="52" fillId="33" borderId="0" xfId="0" applyNumberFormat="1" applyFont="1" applyFill="1" applyBorder="1" applyAlignment="1" applyProtection="1">
      <alignment vertical="top"/>
      <protection/>
    </xf>
    <xf numFmtId="0" fontId="4" fillId="33" borderId="26" xfId="0" applyNumberFormat="1" applyFont="1" applyFill="1" applyBorder="1" applyAlignment="1" applyProtection="1">
      <alignment horizontal="center" vertical="top"/>
      <protection/>
    </xf>
    <xf numFmtId="0" fontId="4" fillId="33" borderId="27" xfId="0" applyNumberFormat="1" applyFont="1" applyFill="1" applyBorder="1" applyAlignment="1" applyProtection="1">
      <alignment horizontal="center" vertical="top"/>
      <protection/>
    </xf>
    <xf numFmtId="2" fontId="1" fillId="33" borderId="16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2" fontId="5" fillId="0" borderId="16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4" fillId="33" borderId="41" xfId="0" applyNumberFormat="1" applyFont="1" applyFill="1" applyBorder="1" applyAlignment="1" applyProtection="1">
      <alignment horizontal="center" vertical="top"/>
      <protection/>
    </xf>
    <xf numFmtId="0" fontId="54" fillId="33" borderId="42" xfId="0" applyNumberFormat="1" applyFont="1" applyFill="1" applyBorder="1" applyAlignment="1" applyProtection="1">
      <alignment horizontal="center" vertical="top"/>
      <protection/>
    </xf>
    <xf numFmtId="0" fontId="54" fillId="33" borderId="43" xfId="0" applyNumberFormat="1" applyFont="1" applyFill="1" applyBorder="1" applyAlignment="1" applyProtection="1">
      <alignment horizontal="center" vertical="top"/>
      <protection/>
    </xf>
    <xf numFmtId="0" fontId="54" fillId="33" borderId="28" xfId="0" applyNumberFormat="1" applyFont="1" applyFill="1" applyBorder="1" applyAlignment="1" applyProtection="1">
      <alignment horizontal="center" vertical="top"/>
      <protection/>
    </xf>
    <xf numFmtId="0" fontId="55" fillId="35" borderId="44" xfId="0" applyNumberFormat="1" applyFont="1" applyFill="1" applyBorder="1" applyAlignment="1" applyProtection="1">
      <alignment horizontal="center" vertical="top"/>
      <protection/>
    </xf>
    <xf numFmtId="0" fontId="55" fillId="35" borderId="45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SheetLayoutView="100" workbookViewId="0" topLeftCell="A74">
      <selection activeCell="A83" sqref="A83"/>
    </sheetView>
  </sheetViews>
  <sheetFormatPr defaultColWidth="9.140625" defaultRowHeight="52.5" customHeight="1"/>
  <cols>
    <col min="1" max="1" width="6.8515625" style="0" customWidth="1"/>
    <col min="2" max="2" width="60.140625" style="0" customWidth="1"/>
    <col min="3" max="3" width="14.140625" style="0" customWidth="1"/>
    <col min="4" max="4" width="12.140625" style="0" customWidth="1"/>
    <col min="5" max="8" width="17.421875" style="10" customWidth="1"/>
    <col min="9" max="13" width="17.421875" style="1" customWidth="1"/>
    <col min="14" max="15" width="17.421875" style="86" customWidth="1"/>
    <col min="16" max="16" width="17.421875" style="0" customWidth="1"/>
    <col min="17" max="17" width="40.57421875" style="0" customWidth="1"/>
    <col min="18" max="18" width="67.421875" style="0" customWidth="1"/>
  </cols>
  <sheetData>
    <row r="1" spans="1:17" s="47" customFormat="1" ht="24" customHeight="1" hidden="1">
      <c r="A1" s="48"/>
      <c r="B1" s="48"/>
      <c r="C1" s="48"/>
      <c r="D1" s="49"/>
      <c r="E1" s="48"/>
      <c r="F1" s="48"/>
      <c r="G1" s="48" t="s">
        <v>47</v>
      </c>
      <c r="H1" s="48"/>
      <c r="I1" s="48"/>
      <c r="J1" s="48" t="s">
        <v>46</v>
      </c>
      <c r="K1" s="48"/>
      <c r="L1" s="48"/>
      <c r="M1" s="48"/>
      <c r="N1" s="75"/>
      <c r="O1" s="75"/>
      <c r="P1" s="48"/>
      <c r="Q1" s="48"/>
    </row>
    <row r="2" spans="1:17" s="47" customFormat="1" ht="30.75" customHeight="1" hidden="1">
      <c r="A2" s="48"/>
      <c r="B2" s="48"/>
      <c r="C2" s="48"/>
      <c r="D2" s="49"/>
      <c r="E2" s="48"/>
      <c r="F2" s="48"/>
      <c r="G2" s="48"/>
      <c r="H2" s="48"/>
      <c r="I2" s="48"/>
      <c r="J2" s="48" t="s">
        <v>159</v>
      </c>
      <c r="K2" s="48">
        <v>20954.36</v>
      </c>
      <c r="L2" s="50" t="s">
        <v>144</v>
      </c>
      <c r="M2" s="48"/>
      <c r="N2" s="75"/>
      <c r="O2" s="75"/>
      <c r="P2" s="48"/>
      <c r="Q2" s="48"/>
    </row>
    <row r="3" spans="1:17" s="47" customFormat="1" ht="73.5" customHeight="1" hidden="1">
      <c r="A3" s="48"/>
      <c r="B3" s="48"/>
      <c r="C3" s="48"/>
      <c r="D3" s="51" t="s">
        <v>141</v>
      </c>
      <c r="E3" s="48">
        <v>137907.03</v>
      </c>
      <c r="F3" s="48" t="s">
        <v>142</v>
      </c>
      <c r="G3" s="52" t="s">
        <v>143</v>
      </c>
      <c r="H3" s="53"/>
      <c r="I3" s="48"/>
      <c r="J3" s="48"/>
      <c r="K3" s="48">
        <v>109368</v>
      </c>
      <c r="L3" s="48" t="s">
        <v>96</v>
      </c>
      <c r="M3" s="48"/>
      <c r="N3" s="75">
        <f>9114*1.302*12</f>
        <v>142397.136</v>
      </c>
      <c r="O3" s="75"/>
      <c r="P3" s="48"/>
      <c r="Q3" s="48"/>
    </row>
    <row r="4" spans="1:17" s="47" customFormat="1" ht="44.25" customHeight="1" hidden="1">
      <c r="A4" s="48"/>
      <c r="B4" s="48"/>
      <c r="C4" s="48"/>
      <c r="D4" s="49" t="s">
        <v>140</v>
      </c>
      <c r="E4" s="48">
        <v>4474124.82</v>
      </c>
      <c r="F4" s="54">
        <f>3183451.85+40162</f>
        <v>3223613.85</v>
      </c>
      <c r="G4" s="48">
        <v>64003.4</v>
      </c>
      <c r="H4" s="50" t="s">
        <v>161</v>
      </c>
      <c r="I4" s="48"/>
      <c r="J4" s="48"/>
      <c r="K4" s="48">
        <f>5207886.12-2454540.21</f>
        <v>2753345.91</v>
      </c>
      <c r="L4" s="50" t="s">
        <v>145</v>
      </c>
      <c r="M4" s="48"/>
      <c r="N4" s="75"/>
      <c r="O4" s="75"/>
      <c r="P4" s="48"/>
      <c r="Q4" s="48"/>
    </row>
    <row r="5" spans="1:17" s="47" customFormat="1" ht="33.75" customHeight="1" hidden="1">
      <c r="A5" s="48"/>
      <c r="B5" s="48"/>
      <c r="C5" s="48"/>
      <c r="D5" s="49"/>
      <c r="E5" s="48"/>
      <c r="F5" s="48" t="s">
        <v>152</v>
      </c>
      <c r="G5" s="48">
        <f>451236.44+62118</f>
        <v>513354.44</v>
      </c>
      <c r="H5" s="48">
        <v>59835.06</v>
      </c>
      <c r="I5" s="48"/>
      <c r="J5" s="48"/>
      <c r="K5" s="48"/>
      <c r="L5" s="50"/>
      <c r="M5" s="48"/>
      <c r="N5" s="75"/>
      <c r="O5" s="75"/>
      <c r="P5" s="48"/>
      <c r="Q5" s="48"/>
    </row>
    <row r="6" spans="1:17" s="47" customFormat="1" ht="33.75" customHeight="1" hidden="1">
      <c r="A6" s="48"/>
      <c r="B6" s="48"/>
      <c r="C6" s="48"/>
      <c r="D6" s="49"/>
      <c r="E6" s="48"/>
      <c r="F6" s="48" t="s">
        <v>153</v>
      </c>
      <c r="G6" s="48">
        <f>38954.73+7191</f>
        <v>46145.73</v>
      </c>
      <c r="H6" s="48"/>
      <c r="I6" s="48"/>
      <c r="J6" s="48"/>
      <c r="K6" s="48">
        <f>SUM(K2:K5)</f>
        <v>2883668.27</v>
      </c>
      <c r="L6" s="50"/>
      <c r="M6" s="48"/>
      <c r="N6" s="75"/>
      <c r="O6" s="75"/>
      <c r="P6" s="48"/>
      <c r="Q6" s="48"/>
    </row>
    <row r="7" spans="1:17" s="47" customFormat="1" ht="0.75" customHeight="1" thickBot="1">
      <c r="A7" s="48"/>
      <c r="B7" s="48"/>
      <c r="C7" s="48"/>
      <c r="D7" s="49"/>
      <c r="E7" s="48"/>
      <c r="F7" s="48" t="s">
        <v>154</v>
      </c>
      <c r="G7" s="48">
        <f>17290.02+1428</f>
        <v>18718.02</v>
      </c>
      <c r="H7" s="48"/>
      <c r="I7" s="48"/>
      <c r="J7" s="48"/>
      <c r="K7" s="48"/>
      <c r="L7" s="50"/>
      <c r="M7" s="48"/>
      <c r="N7" s="75"/>
      <c r="O7" s="75"/>
      <c r="P7" s="48"/>
      <c r="Q7" s="48"/>
    </row>
    <row r="8" spans="1:17" ht="42" customHeight="1" thickBot="1">
      <c r="A8" s="104" t="s">
        <v>158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62" t="s">
        <v>160</v>
      </c>
    </row>
    <row r="9" spans="1:17" ht="35.25" customHeight="1">
      <c r="A9" s="100"/>
      <c r="B9" s="101"/>
      <c r="C9" s="101"/>
      <c r="D9" s="102"/>
      <c r="E9" s="103" t="s">
        <v>139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0"/>
      <c r="Q9" s="63"/>
    </row>
    <row r="10" spans="1:17" s="1" customFormat="1" ht="52.5" customHeight="1">
      <c r="A10" s="65" t="s">
        <v>65</v>
      </c>
      <c r="B10" s="65" t="s">
        <v>0</v>
      </c>
      <c r="C10" s="67" t="s">
        <v>1</v>
      </c>
      <c r="D10" s="67" t="s">
        <v>148</v>
      </c>
      <c r="E10" s="71" t="s">
        <v>56</v>
      </c>
      <c r="F10" s="67" t="s">
        <v>57</v>
      </c>
      <c r="G10" s="67" t="s">
        <v>48</v>
      </c>
      <c r="H10" s="67" t="s">
        <v>49</v>
      </c>
      <c r="I10" s="67" t="s">
        <v>50</v>
      </c>
      <c r="J10" s="67" t="s">
        <v>45</v>
      </c>
      <c r="K10" s="69" t="s">
        <v>58</v>
      </c>
      <c r="L10" s="70"/>
      <c r="M10" s="67" t="s">
        <v>64</v>
      </c>
      <c r="N10" s="76" t="s">
        <v>61</v>
      </c>
      <c r="O10" s="77" t="s">
        <v>62</v>
      </c>
      <c r="P10" s="73" t="s">
        <v>63</v>
      </c>
      <c r="Q10" s="63"/>
    </row>
    <row r="11" spans="1:17" s="1" customFormat="1" ht="52.5" customHeight="1" thickBot="1">
      <c r="A11" s="66"/>
      <c r="B11" s="66"/>
      <c r="C11" s="68"/>
      <c r="D11" s="68"/>
      <c r="E11" s="72"/>
      <c r="F11" s="68"/>
      <c r="G11" s="68"/>
      <c r="H11" s="68"/>
      <c r="I11" s="68"/>
      <c r="J11" s="68"/>
      <c r="K11" s="16" t="s">
        <v>59</v>
      </c>
      <c r="L11" s="16" t="s">
        <v>60</v>
      </c>
      <c r="M11" s="68"/>
      <c r="N11" s="78"/>
      <c r="O11" s="79"/>
      <c r="P11" s="74"/>
      <c r="Q11" s="64"/>
    </row>
    <row r="12" spans="1:17" s="36" customFormat="1" ht="17.25" customHeight="1" thickBot="1">
      <c r="A12" s="32">
        <v>1</v>
      </c>
      <c r="B12" s="33">
        <v>2</v>
      </c>
      <c r="C12" s="33">
        <v>3</v>
      </c>
      <c r="D12" s="33">
        <v>4</v>
      </c>
      <c r="E12" s="11">
        <v>5</v>
      </c>
      <c r="F12" s="11">
        <v>6</v>
      </c>
      <c r="G12" s="11">
        <v>7</v>
      </c>
      <c r="H12" s="11">
        <v>8</v>
      </c>
      <c r="I12" s="55">
        <v>9</v>
      </c>
      <c r="J12" s="56">
        <v>10</v>
      </c>
      <c r="K12" s="14">
        <v>11</v>
      </c>
      <c r="L12" s="11">
        <v>12</v>
      </c>
      <c r="M12" s="11">
        <v>13</v>
      </c>
      <c r="N12" s="80">
        <v>14</v>
      </c>
      <c r="O12" s="80">
        <v>15</v>
      </c>
      <c r="P12" s="34">
        <v>16</v>
      </c>
      <c r="Q12" s="35">
        <v>17</v>
      </c>
    </row>
    <row r="13" spans="1:17" s="24" customFormat="1" ht="52.5" customHeight="1" thickBot="1">
      <c r="A13" s="18" t="s">
        <v>2</v>
      </c>
      <c r="B13" s="19" t="s">
        <v>3</v>
      </c>
      <c r="C13" s="20">
        <v>1990</v>
      </c>
      <c r="D13" s="21">
        <v>731</v>
      </c>
      <c r="E13" s="57">
        <f>E4/D77*D13</f>
        <v>44208.305286853814</v>
      </c>
      <c r="F13" s="57">
        <f>(F4/G4*D13)</f>
        <v>36817.758499548465</v>
      </c>
      <c r="G13" s="57">
        <f>4135.37+704.34</f>
        <v>4839.71</v>
      </c>
      <c r="H13" s="57">
        <v>13092.48</v>
      </c>
      <c r="I13" s="58">
        <v>0</v>
      </c>
      <c r="J13" s="59">
        <v>1705.44</v>
      </c>
      <c r="K13" s="13">
        <f>K4/D77*D13</f>
        <v>27205.489664812325</v>
      </c>
      <c r="L13" s="15">
        <f>K13*54.48%</f>
        <v>14821.550769389753</v>
      </c>
      <c r="M13" s="8">
        <f>SUM(E13:K13)</f>
        <v>127869.18345121462</v>
      </c>
      <c r="N13" s="81">
        <v>135356.81999999998</v>
      </c>
      <c r="O13" s="81">
        <v>114387.29999999999</v>
      </c>
      <c r="P13" s="3">
        <f aca="true" t="shared" si="0" ref="P13:P55">O13-M13</f>
        <v>-13481.883451214628</v>
      </c>
      <c r="Q13" s="9" t="s">
        <v>112</v>
      </c>
    </row>
    <row r="14" spans="1:17" s="24" customFormat="1" ht="52.5" customHeight="1" thickBot="1">
      <c r="A14" s="22">
        <v>2</v>
      </c>
      <c r="B14" s="5" t="s">
        <v>8</v>
      </c>
      <c r="C14" s="17">
        <v>1978</v>
      </c>
      <c r="D14" s="17">
        <v>868.6</v>
      </c>
      <c r="E14" s="7">
        <f>E4/D77*D14</f>
        <v>52529.868634967475</v>
      </c>
      <c r="F14" s="7">
        <f>(F4/G4*D14)</f>
        <v>43748.160099463465</v>
      </c>
      <c r="G14" s="7">
        <f>26917.18+836.92</f>
        <v>27754.1</v>
      </c>
      <c r="H14" s="7">
        <v>0</v>
      </c>
      <c r="I14" s="58">
        <v>0</v>
      </c>
      <c r="J14" s="59">
        <v>2291.07</v>
      </c>
      <c r="K14" s="13">
        <f>K4/D77*D14</f>
        <v>32326.52301348288</v>
      </c>
      <c r="L14" s="8">
        <f aca="true" t="shared" si="1" ref="L14:L55">K14*54.48%</f>
        <v>17611.489737745473</v>
      </c>
      <c r="M14" s="8">
        <f>SUM(E14:K14)</f>
        <v>158649.72174791383</v>
      </c>
      <c r="N14" s="82">
        <v>145006.81999999998</v>
      </c>
      <c r="O14" s="82">
        <v>133833.39</v>
      </c>
      <c r="P14" s="3">
        <f t="shared" si="0"/>
        <v>-24816.33174791382</v>
      </c>
      <c r="Q14" s="9" t="s">
        <v>113</v>
      </c>
    </row>
    <row r="15" spans="1:17" s="24" customFormat="1" ht="52.5" customHeight="1" thickBot="1">
      <c r="A15" s="22">
        <v>3</v>
      </c>
      <c r="B15" s="5" t="s">
        <v>9</v>
      </c>
      <c r="C15" s="17">
        <v>1988</v>
      </c>
      <c r="D15" s="17">
        <v>732.3</v>
      </c>
      <c r="E15" s="7">
        <f>E4/D77*D15</f>
        <v>44286.92470802058</v>
      </c>
      <c r="F15" s="7">
        <f>(F4/G4*D15)</f>
        <v>36883.23467745463</v>
      </c>
      <c r="G15" s="7">
        <f>4782.62+705.59</f>
        <v>5488.21</v>
      </c>
      <c r="H15" s="7">
        <v>13310.6</v>
      </c>
      <c r="I15" s="58">
        <v>0</v>
      </c>
      <c r="J15" s="59">
        <v>1150.85</v>
      </c>
      <c r="K15" s="13">
        <f>K4/D77*D15</f>
        <v>27253.87152057738</v>
      </c>
      <c r="L15" s="8">
        <f t="shared" si="1"/>
        <v>14847.909204410556</v>
      </c>
      <c r="M15" s="8">
        <f aca="true" t="shared" si="2" ref="M15:M71">SUM(E15:K15)</f>
        <v>128373.69090605261</v>
      </c>
      <c r="N15" s="82">
        <v>135969.72</v>
      </c>
      <c r="O15" s="82">
        <v>130984.01</v>
      </c>
      <c r="P15" s="3">
        <f t="shared" si="0"/>
        <v>2610.319093947386</v>
      </c>
      <c r="Q15" s="9" t="s">
        <v>100</v>
      </c>
    </row>
    <row r="16" spans="1:17" s="24" customFormat="1" ht="52.5" customHeight="1" thickBot="1">
      <c r="A16" s="22">
        <v>4</v>
      </c>
      <c r="B16" s="5" t="s">
        <v>4</v>
      </c>
      <c r="C16" s="17">
        <v>1991</v>
      </c>
      <c r="D16" s="17">
        <v>719.2</v>
      </c>
      <c r="E16" s="7">
        <f>E4/D77*D16</f>
        <v>43494.68284857081</v>
      </c>
      <c r="F16" s="7">
        <f>(F4/G4*D16)</f>
        <v>36223.436269323196</v>
      </c>
      <c r="G16" s="7">
        <f>2056.94+692.97</f>
        <v>2749.91</v>
      </c>
      <c r="H16" s="7">
        <v>4843.51</v>
      </c>
      <c r="I16" s="58">
        <v>76185.59</v>
      </c>
      <c r="J16" s="59">
        <v>1165.42</v>
      </c>
      <c r="K16" s="13">
        <f>K4/D77*D16</f>
        <v>26766.331281714127</v>
      </c>
      <c r="L16" s="8">
        <f t="shared" si="1"/>
        <v>14582.297282277856</v>
      </c>
      <c r="M16" s="8">
        <f t="shared" si="2"/>
        <v>191428.8803996081</v>
      </c>
      <c r="N16" s="82">
        <v>133982.58000000002</v>
      </c>
      <c r="O16" s="82">
        <v>141732.27</v>
      </c>
      <c r="P16" s="3">
        <f t="shared" si="0"/>
        <v>-49696.61039960812</v>
      </c>
      <c r="Q16" s="23" t="s">
        <v>99</v>
      </c>
    </row>
    <row r="17" spans="1:17" s="24" customFormat="1" ht="52.5" customHeight="1" thickBot="1">
      <c r="A17" s="22">
        <v>5</v>
      </c>
      <c r="B17" s="5" t="s">
        <v>28</v>
      </c>
      <c r="C17" s="17">
        <v>1991</v>
      </c>
      <c r="D17" s="17">
        <v>721.5</v>
      </c>
      <c r="E17" s="7">
        <f>E4/D77*D17</f>
        <v>43633.77874755818</v>
      </c>
      <c r="F17" s="7">
        <f>(F4/G4*D17)</f>
        <v>36339.27873792643</v>
      </c>
      <c r="G17" s="7">
        <f>5650.16+695.18</f>
        <v>6345.34</v>
      </c>
      <c r="H17" s="7">
        <v>700.5</v>
      </c>
      <c r="I17" s="58">
        <v>3104.47</v>
      </c>
      <c r="J17" s="59">
        <v>1150.85</v>
      </c>
      <c r="K17" s="13">
        <f>K4/D77*D17</f>
        <v>26851.929949606147</v>
      </c>
      <c r="L17" s="8">
        <f t="shared" si="1"/>
        <v>14628.931436545427</v>
      </c>
      <c r="M17" s="8">
        <f t="shared" si="2"/>
        <v>118126.14743509075</v>
      </c>
      <c r="N17" s="82">
        <v>134335.32</v>
      </c>
      <c r="O17" s="82">
        <v>149174.43000000002</v>
      </c>
      <c r="P17" s="3">
        <f t="shared" si="0"/>
        <v>31048.28256490927</v>
      </c>
      <c r="Q17" s="23" t="s">
        <v>97</v>
      </c>
    </row>
    <row r="18" spans="1:17" s="24" customFormat="1" ht="52.5" customHeight="1" thickBot="1">
      <c r="A18" s="22">
        <v>6</v>
      </c>
      <c r="B18" s="5" t="s">
        <v>10</v>
      </c>
      <c r="C18" s="17">
        <v>1989</v>
      </c>
      <c r="D18" s="17">
        <v>4255.9</v>
      </c>
      <c r="E18" s="7">
        <f>E4/D77*D18</f>
        <v>257381.84195666364</v>
      </c>
      <c r="F18" s="7">
        <f>(F4/G4*D18)</f>
        <v>214353.89657760368</v>
      </c>
      <c r="G18" s="7">
        <f>29262.23+4100.67</f>
        <v>33362.9</v>
      </c>
      <c r="H18" s="7">
        <v>19524.76</v>
      </c>
      <c r="I18" s="58">
        <v>3000</v>
      </c>
      <c r="J18" s="59">
        <v>7011.74</v>
      </c>
      <c r="K18" s="13">
        <f>K4/D77*D18</f>
        <v>158391.03073115562</v>
      </c>
      <c r="L18" s="8">
        <f t="shared" si="1"/>
        <v>86291.43354233357</v>
      </c>
      <c r="M18" s="8">
        <f t="shared" si="2"/>
        <v>693026.169265423</v>
      </c>
      <c r="N18" s="82">
        <v>793639.6299999999</v>
      </c>
      <c r="O18" s="82">
        <v>776089.2999999999</v>
      </c>
      <c r="P18" s="3">
        <f t="shared" si="0"/>
        <v>83063.13073457696</v>
      </c>
      <c r="Q18" s="9" t="s">
        <v>110</v>
      </c>
    </row>
    <row r="19" spans="1:17" s="24" customFormat="1" ht="52.5" customHeight="1" thickBot="1">
      <c r="A19" s="22">
        <v>7</v>
      </c>
      <c r="B19" s="5" t="s">
        <v>11</v>
      </c>
      <c r="C19" s="17">
        <v>1988</v>
      </c>
      <c r="D19" s="17">
        <v>4245.1</v>
      </c>
      <c r="E19" s="7">
        <f>E4/D77*D19</f>
        <v>256728.69599620128</v>
      </c>
      <c r="F19" s="7">
        <f>(F4/G4*D19)</f>
        <v>213809.9406380755</v>
      </c>
      <c r="G19" s="7">
        <f>37542.29+4090.26</f>
        <v>41632.55</v>
      </c>
      <c r="H19" s="7">
        <v>37230.13</v>
      </c>
      <c r="I19" s="58">
        <v>85237.99</v>
      </c>
      <c r="J19" s="59">
        <v>7011.74</v>
      </c>
      <c r="K19" s="13">
        <f>K4/D77*D19</f>
        <v>157989.08916018443</v>
      </c>
      <c r="L19" s="8">
        <f t="shared" si="1"/>
        <v>86072.45577446847</v>
      </c>
      <c r="M19" s="8">
        <f t="shared" si="2"/>
        <v>799640.1357944612</v>
      </c>
      <c r="N19" s="82">
        <v>789969.5999999999</v>
      </c>
      <c r="O19" s="82">
        <v>812060.18</v>
      </c>
      <c r="P19" s="3">
        <f t="shared" si="0"/>
        <v>12420.044205538812</v>
      </c>
      <c r="Q19" s="9" t="s">
        <v>109</v>
      </c>
    </row>
    <row r="20" spans="1:17" s="24" customFormat="1" ht="52.5" customHeight="1" thickBot="1">
      <c r="A20" s="22">
        <v>8</v>
      </c>
      <c r="B20" s="5" t="s">
        <v>5</v>
      </c>
      <c r="C20" s="17">
        <v>1978</v>
      </c>
      <c r="D20" s="17">
        <v>772.1</v>
      </c>
      <c r="E20" s="7">
        <f>E4/D77*D20</f>
        <v>46693.88852528021</v>
      </c>
      <c r="F20" s="7">
        <f>(F4/G4*D20)</f>
        <v>38887.813047197495</v>
      </c>
      <c r="G20" s="7">
        <f>6483.18+743.94</f>
        <v>7227.120000000001</v>
      </c>
      <c r="H20" s="7">
        <v>1374.75</v>
      </c>
      <c r="I20" s="58">
        <v>0</v>
      </c>
      <c r="J20" s="59">
        <v>1698.59</v>
      </c>
      <c r="K20" s="13">
        <f>K4/D77*D20</f>
        <v>28735.10064323064</v>
      </c>
      <c r="L20" s="8">
        <f t="shared" si="1"/>
        <v>15654.88283043205</v>
      </c>
      <c r="M20" s="8">
        <f t="shared" si="2"/>
        <v>124617.26221570832</v>
      </c>
      <c r="N20" s="82">
        <v>129569.28000000003</v>
      </c>
      <c r="O20" s="82">
        <v>127020.4</v>
      </c>
      <c r="P20" s="3">
        <f t="shared" si="0"/>
        <v>2403.13778429167</v>
      </c>
      <c r="Q20" s="23" t="s">
        <v>51</v>
      </c>
    </row>
    <row r="21" spans="1:17" s="24" customFormat="1" ht="52.5" customHeight="1" thickBot="1">
      <c r="A21" s="22">
        <v>9</v>
      </c>
      <c r="B21" s="5" t="s">
        <v>12</v>
      </c>
      <c r="C21" s="17">
        <v>1979</v>
      </c>
      <c r="D21" s="17">
        <v>779.4</v>
      </c>
      <c r="E21" s="7">
        <f>E4/D77*D21</f>
        <v>47135.366813370536</v>
      </c>
      <c r="F21" s="7">
        <f>(F4/G4*D21)</f>
        <v>39255.48696928601</v>
      </c>
      <c r="G21" s="7">
        <f>5939.57+750.97</f>
        <v>6690.54</v>
      </c>
      <c r="H21" s="7">
        <v>4715.75</v>
      </c>
      <c r="I21" s="58">
        <v>0</v>
      </c>
      <c r="J21" s="59">
        <v>1698.59</v>
      </c>
      <c r="K21" s="13">
        <f>K4/D77*D21</f>
        <v>29006.78337175749</v>
      </c>
      <c r="L21" s="8">
        <f t="shared" si="1"/>
        <v>15802.89558093348</v>
      </c>
      <c r="M21" s="8">
        <f t="shared" si="2"/>
        <v>128502.51715441403</v>
      </c>
      <c r="N21" s="82">
        <v>130087.50000000003</v>
      </c>
      <c r="O21" s="82">
        <v>126836.18000000001</v>
      </c>
      <c r="P21" s="3">
        <f t="shared" si="0"/>
        <v>-1666.3371544140246</v>
      </c>
      <c r="Q21" s="9" t="s">
        <v>121</v>
      </c>
    </row>
    <row r="22" spans="1:17" s="24" customFormat="1" ht="52.5" customHeight="1" thickBot="1">
      <c r="A22" s="22">
        <v>10</v>
      </c>
      <c r="B22" s="5" t="s">
        <v>6</v>
      </c>
      <c r="C22" s="17">
        <v>1991</v>
      </c>
      <c r="D22" s="17">
        <v>5272.8</v>
      </c>
      <c r="E22" s="7">
        <f>E4/D77*D22</f>
        <v>318880.3722524252</v>
      </c>
      <c r="F22" s="7">
        <f>(F4/G4*D22)</f>
        <v>265571.37758744066</v>
      </c>
      <c r="G22" s="7">
        <f>48839.13+5080.47</f>
        <v>53919.6</v>
      </c>
      <c r="H22" s="7">
        <v>100580.17</v>
      </c>
      <c r="I22" s="58">
        <v>0</v>
      </c>
      <c r="J22" s="59">
        <v>7288.6</v>
      </c>
      <c r="K22" s="13">
        <f>K4/D77*D22</f>
        <v>196236.80698306762</v>
      </c>
      <c r="L22" s="8">
        <f t="shared" si="1"/>
        <v>106909.81244437523</v>
      </c>
      <c r="M22" s="8">
        <f t="shared" si="2"/>
        <v>942476.9268229335</v>
      </c>
      <c r="N22" s="82">
        <v>982621.9300000003</v>
      </c>
      <c r="O22" s="82">
        <v>963956.86</v>
      </c>
      <c r="P22" s="3">
        <f t="shared" si="0"/>
        <v>21479.9331770665</v>
      </c>
      <c r="Q22" s="9" t="s">
        <v>122</v>
      </c>
    </row>
    <row r="23" spans="1:17" s="24" customFormat="1" ht="52.5" customHeight="1" thickBot="1">
      <c r="A23" s="22">
        <v>11</v>
      </c>
      <c r="B23" s="5" t="s">
        <v>42</v>
      </c>
      <c r="C23" s="17">
        <v>1984</v>
      </c>
      <c r="D23" s="17">
        <v>3638.14</v>
      </c>
      <c r="E23" s="7">
        <f>E4/D77*D23</f>
        <v>220021.89301821386</v>
      </c>
      <c r="F23" s="7">
        <f>(F4/G4*D23)</f>
        <v>183239.61683658994</v>
      </c>
      <c r="G23" s="7">
        <f>523819.16+3505.44</f>
        <v>527324.6</v>
      </c>
      <c r="H23" s="7">
        <v>8052.48</v>
      </c>
      <c r="I23" s="58">
        <v>42379.33</v>
      </c>
      <c r="J23" s="59">
        <v>0</v>
      </c>
      <c r="K23" s="13">
        <f>K4/D77*D23</f>
        <v>135399.97287160097</v>
      </c>
      <c r="L23" s="8">
        <f t="shared" si="1"/>
        <v>73765.9052204482</v>
      </c>
      <c r="M23" s="8">
        <f t="shared" si="2"/>
        <v>1116417.8927264046</v>
      </c>
      <c r="N23" s="82">
        <v>663915.1200000001</v>
      </c>
      <c r="O23" s="82">
        <v>656907.16</v>
      </c>
      <c r="P23" s="3">
        <f t="shared" si="0"/>
        <v>-459510.73272640456</v>
      </c>
      <c r="Q23" s="9" t="s">
        <v>138</v>
      </c>
    </row>
    <row r="24" spans="1:17" s="24" customFormat="1" ht="52.5" customHeight="1" thickBot="1">
      <c r="A24" s="22">
        <v>12</v>
      </c>
      <c r="B24" s="5" t="s">
        <v>150</v>
      </c>
      <c r="C24" s="17">
        <v>1978</v>
      </c>
      <c r="D24" s="17">
        <v>271.7</v>
      </c>
      <c r="E24" s="7">
        <f>E4/D77*D24</f>
        <v>16431.45902385524</v>
      </c>
      <c r="F24" s="7">
        <f>(F4/G4*D24)</f>
        <v>13684.52118239031</v>
      </c>
      <c r="G24" s="59">
        <f>2124.44+261.79</f>
        <v>2386.23</v>
      </c>
      <c r="H24" s="7">
        <v>457</v>
      </c>
      <c r="I24" s="58">
        <v>0</v>
      </c>
      <c r="J24" s="59">
        <v>864.37</v>
      </c>
      <c r="K24" s="13">
        <f>K4/D77*D24</f>
        <v>10111.80785489673</v>
      </c>
      <c r="L24" s="8">
        <f t="shared" si="1"/>
        <v>5508.912919347737</v>
      </c>
      <c r="M24" s="8">
        <f t="shared" si="2"/>
        <v>43935.38806114229</v>
      </c>
      <c r="N24" s="82">
        <v>49656.3</v>
      </c>
      <c r="O24" s="82">
        <v>61848.840000000004</v>
      </c>
      <c r="P24" s="3">
        <f t="shared" si="0"/>
        <v>17913.451938857717</v>
      </c>
      <c r="Q24" s="23" t="s">
        <v>53</v>
      </c>
    </row>
    <row r="25" spans="1:17" s="24" customFormat="1" ht="52.5" customHeight="1" thickBot="1">
      <c r="A25" s="22">
        <v>13</v>
      </c>
      <c r="B25" s="5" t="s">
        <v>151</v>
      </c>
      <c r="C25" s="17">
        <v>1977</v>
      </c>
      <c r="D25" s="25">
        <v>271</v>
      </c>
      <c r="E25" s="7">
        <f>E4/D77*D25</f>
        <v>16389.125489380825</v>
      </c>
      <c r="F25" s="7">
        <f>(F4/G4*D25)</f>
        <v>13649.26477890237</v>
      </c>
      <c r="G25" s="7">
        <f>-890.16+261.12</f>
        <v>-629.04</v>
      </c>
      <c r="H25" s="7">
        <v>55</v>
      </c>
      <c r="I25" s="58">
        <v>0</v>
      </c>
      <c r="J25" s="59">
        <v>864.37</v>
      </c>
      <c r="K25" s="13">
        <f>K4/D77*D25</f>
        <v>10085.756086407853</v>
      </c>
      <c r="L25" s="8">
        <f t="shared" si="1"/>
        <v>5494.719915874998</v>
      </c>
      <c r="M25" s="8">
        <f t="shared" si="2"/>
        <v>40414.47635469105</v>
      </c>
      <c r="N25" s="82">
        <v>50287.560000000005</v>
      </c>
      <c r="O25" s="82">
        <v>51382.71</v>
      </c>
      <c r="P25" s="3">
        <f t="shared" si="0"/>
        <v>10968.233645308952</v>
      </c>
      <c r="Q25" s="23"/>
    </row>
    <row r="26" spans="1:17" s="24" customFormat="1" ht="52.5" customHeight="1" thickBot="1">
      <c r="A26" s="22">
        <v>14</v>
      </c>
      <c r="B26" s="26" t="s">
        <v>40</v>
      </c>
      <c r="C26" s="17">
        <v>1986</v>
      </c>
      <c r="D26" s="17">
        <v>3215.3</v>
      </c>
      <c r="E26" s="7">
        <f>E4/D77*D26</f>
        <v>194450.01913655412</v>
      </c>
      <c r="F26" s="7">
        <f>(F4/G4*D26)</f>
        <v>161942.73447824648</v>
      </c>
      <c r="G26" s="7">
        <f>24802.83+3098.02</f>
        <v>27900.850000000002</v>
      </c>
      <c r="H26" s="7">
        <v>5855.47</v>
      </c>
      <c r="I26" s="58">
        <v>0</v>
      </c>
      <c r="J26" s="59">
        <v>5258.81</v>
      </c>
      <c r="K26" s="13">
        <f>K4/D77*D26</f>
        <v>119663.21603183459</v>
      </c>
      <c r="L26" s="8">
        <f t="shared" si="1"/>
        <v>65192.520094143474</v>
      </c>
      <c r="M26" s="8">
        <f t="shared" si="2"/>
        <v>515071.0996466352</v>
      </c>
      <c r="N26" s="82">
        <v>597378.1400000001</v>
      </c>
      <c r="O26" s="82">
        <v>603605.49</v>
      </c>
      <c r="P26" s="3">
        <f t="shared" si="0"/>
        <v>88534.39035336481</v>
      </c>
      <c r="Q26" s="9" t="s">
        <v>101</v>
      </c>
    </row>
    <row r="27" spans="1:17" s="24" customFormat="1" ht="52.5" customHeight="1" thickBot="1">
      <c r="A27" s="22">
        <v>15</v>
      </c>
      <c r="B27" s="5" t="s">
        <v>7</v>
      </c>
      <c r="C27" s="17">
        <v>1977</v>
      </c>
      <c r="D27" s="17">
        <v>841.9</v>
      </c>
      <c r="E27" s="7">
        <f>E4/D77*D27</f>
        <v>50915.14667715762</v>
      </c>
      <c r="F27" s="7">
        <f>(F4/G4*D27)</f>
        <v>42403.38013785205</v>
      </c>
      <c r="G27" s="7">
        <f>4428.57+811.19</f>
        <v>5239.76</v>
      </c>
      <c r="H27" s="7">
        <v>655</v>
      </c>
      <c r="I27" s="58">
        <v>3898.07</v>
      </c>
      <c r="J27" s="59">
        <v>1698.59</v>
      </c>
      <c r="K27" s="13">
        <f>K4/D77*D27</f>
        <v>31332.83412969288</v>
      </c>
      <c r="L27" s="8">
        <f t="shared" si="1"/>
        <v>17070.12803385668</v>
      </c>
      <c r="M27" s="8">
        <f t="shared" si="2"/>
        <v>136142.78094470256</v>
      </c>
      <c r="N27" s="82">
        <v>157158</v>
      </c>
      <c r="O27" s="82">
        <v>159556.37</v>
      </c>
      <c r="P27" s="3">
        <f t="shared" si="0"/>
        <v>23413.58905529743</v>
      </c>
      <c r="Q27" s="23" t="s">
        <v>84</v>
      </c>
    </row>
    <row r="28" spans="1:17" s="24" customFormat="1" ht="52.5" customHeight="1" thickBot="1">
      <c r="A28" s="22">
        <v>16</v>
      </c>
      <c r="B28" s="5" t="s">
        <v>41</v>
      </c>
      <c r="C28" s="17">
        <v>1966</v>
      </c>
      <c r="D28" s="17">
        <v>180.9</v>
      </c>
      <c r="E28" s="7">
        <f>E4/D77*D28</f>
        <v>10940.194837745355</v>
      </c>
      <c r="F28" s="7">
        <v>0</v>
      </c>
      <c r="G28" s="7">
        <f>-31.08+174.3</f>
        <v>143.22000000000003</v>
      </c>
      <c r="H28" s="7">
        <v>0</v>
      </c>
      <c r="I28" s="58">
        <v>0</v>
      </c>
      <c r="J28" s="59">
        <v>475</v>
      </c>
      <c r="K28" s="13">
        <f>K4/D77*D28</f>
        <v>6732.521313768194</v>
      </c>
      <c r="L28" s="8">
        <f t="shared" si="1"/>
        <v>3667.8776117409116</v>
      </c>
      <c r="M28" s="8">
        <f t="shared" si="2"/>
        <v>18290.93615151355</v>
      </c>
      <c r="N28" s="82">
        <v>30228.42</v>
      </c>
      <c r="O28" s="82">
        <v>30093.55</v>
      </c>
      <c r="P28" s="3">
        <f t="shared" si="0"/>
        <v>11802.61384848645</v>
      </c>
      <c r="Q28" s="23" t="s">
        <v>52</v>
      </c>
    </row>
    <row r="29" spans="1:17" s="24" customFormat="1" ht="47.25" customHeight="1" thickBot="1">
      <c r="A29" s="22">
        <v>17</v>
      </c>
      <c r="B29" s="5" t="s">
        <v>13</v>
      </c>
      <c r="C29" s="17">
        <v>1974</v>
      </c>
      <c r="D29" s="17">
        <v>715.6</v>
      </c>
      <c r="E29" s="7">
        <f>E4/D77*D29</f>
        <v>43276.96752841667</v>
      </c>
      <c r="F29" s="7">
        <f>(F4/G4*D29)</f>
        <v>36042.11762281379</v>
      </c>
      <c r="G29" s="7">
        <f>4205.13+689.5</f>
        <v>4894.63</v>
      </c>
      <c r="H29" s="7">
        <v>700.5</v>
      </c>
      <c r="I29" s="58">
        <f>607</f>
        <v>607</v>
      </c>
      <c r="J29" s="59">
        <v>1705.44</v>
      </c>
      <c r="K29" s="13">
        <f>K4/D77*D29</f>
        <v>26632.350758057048</v>
      </c>
      <c r="L29" s="8">
        <f t="shared" si="1"/>
        <v>14509.304692989479</v>
      </c>
      <c r="M29" s="8">
        <f t="shared" si="2"/>
        <v>113859.00590928752</v>
      </c>
      <c r="N29" s="82">
        <v>120161.58</v>
      </c>
      <c r="O29" s="82">
        <v>118476.77</v>
      </c>
      <c r="P29" s="3">
        <f t="shared" si="0"/>
        <v>4617.764090712488</v>
      </c>
      <c r="Q29" s="23" t="s">
        <v>85</v>
      </c>
    </row>
    <row r="30" spans="1:17" s="24" customFormat="1" ht="47.25" customHeight="1" thickBot="1">
      <c r="A30" s="22">
        <v>18</v>
      </c>
      <c r="B30" s="5" t="s">
        <v>14</v>
      </c>
      <c r="C30" s="17">
        <v>1972</v>
      </c>
      <c r="D30" s="17">
        <v>714.9</v>
      </c>
      <c r="E30" s="7">
        <f>E4/D77*D30</f>
        <v>43234.633993942254</v>
      </c>
      <c r="F30" s="7">
        <f>(F4/G4*D30)</f>
        <v>36006.861219325845</v>
      </c>
      <c r="G30" s="7">
        <f>12558.38+688.82</f>
        <v>13247.199999999999</v>
      </c>
      <c r="H30" s="7">
        <v>1037.5</v>
      </c>
      <c r="I30" s="58">
        <v>0</v>
      </c>
      <c r="J30" s="59">
        <v>1717.1</v>
      </c>
      <c r="K30" s="13">
        <f>K4/D77*D30</f>
        <v>26606.298989568168</v>
      </c>
      <c r="L30" s="8">
        <f t="shared" si="1"/>
        <v>14495.111689516736</v>
      </c>
      <c r="M30" s="8">
        <f t="shared" si="2"/>
        <v>121849.59420283626</v>
      </c>
      <c r="N30" s="82">
        <v>120061.37999999998</v>
      </c>
      <c r="O30" s="82">
        <v>121940.25</v>
      </c>
      <c r="P30" s="3">
        <f t="shared" si="0"/>
        <v>90.65579716373759</v>
      </c>
      <c r="Q30" s="23" t="s">
        <v>86</v>
      </c>
    </row>
    <row r="31" spans="1:17" s="24" customFormat="1" ht="47.25" customHeight="1" thickBot="1">
      <c r="A31" s="22">
        <v>19</v>
      </c>
      <c r="B31" s="5" t="s">
        <v>15</v>
      </c>
      <c r="C31" s="17">
        <v>1971</v>
      </c>
      <c r="D31" s="17">
        <v>715.2</v>
      </c>
      <c r="E31" s="7">
        <f>E4/D77*D31</f>
        <v>43252.77693728844</v>
      </c>
      <c r="F31" s="7">
        <f>(F4/G4*D31)</f>
        <v>36021.97110653497</v>
      </c>
      <c r="G31" s="7">
        <f>12299.1+689.11</f>
        <v>12988.210000000001</v>
      </c>
      <c r="H31" s="7">
        <v>932.46</v>
      </c>
      <c r="I31" s="58">
        <v>0</v>
      </c>
      <c r="J31" s="59">
        <v>1705.44</v>
      </c>
      <c r="K31" s="13">
        <f>K4/D77*D31</f>
        <v>26617.464033206263</v>
      </c>
      <c r="L31" s="8">
        <f t="shared" si="1"/>
        <v>14501.194405290771</v>
      </c>
      <c r="M31" s="8">
        <f t="shared" si="2"/>
        <v>121518.32207702968</v>
      </c>
      <c r="N31" s="82">
        <v>119710.56000000001</v>
      </c>
      <c r="O31" s="82">
        <v>129286.67000000001</v>
      </c>
      <c r="P31" s="3">
        <f t="shared" si="0"/>
        <v>7768.347922970337</v>
      </c>
      <c r="Q31" s="23" t="s">
        <v>54</v>
      </c>
    </row>
    <row r="32" spans="1:17" s="24" customFormat="1" ht="47.25" customHeight="1" thickBot="1">
      <c r="A32" s="22">
        <v>20</v>
      </c>
      <c r="B32" s="5" t="s">
        <v>16</v>
      </c>
      <c r="C32" s="17">
        <v>1981</v>
      </c>
      <c r="D32" s="17">
        <v>875.2</v>
      </c>
      <c r="E32" s="7">
        <f>E4/D77*D32</f>
        <v>52929.01338858339</v>
      </c>
      <c r="F32" s="7">
        <f>(F4/G4*D32)</f>
        <v>44080.577618064046</v>
      </c>
      <c r="G32" s="7">
        <f>11552.4+843.28</f>
        <v>12395.68</v>
      </c>
      <c r="H32" s="7">
        <v>7417.43</v>
      </c>
      <c r="I32" s="58">
        <v>0</v>
      </c>
      <c r="J32" s="59">
        <v>1582.02</v>
      </c>
      <c r="K32" s="13">
        <f>K4/D77*D32</f>
        <v>32572.15397352086</v>
      </c>
      <c r="L32" s="8">
        <f t="shared" si="1"/>
        <v>17745.309484774163</v>
      </c>
      <c r="M32" s="8">
        <f t="shared" si="2"/>
        <v>150976.8749801683</v>
      </c>
      <c r="N32" s="82">
        <v>161819.04000000004</v>
      </c>
      <c r="O32" s="82">
        <v>136262.57</v>
      </c>
      <c r="P32" s="3">
        <f t="shared" si="0"/>
        <v>-14714.304980168294</v>
      </c>
      <c r="Q32" s="9" t="s">
        <v>115</v>
      </c>
    </row>
    <row r="33" spans="1:17" s="24" customFormat="1" ht="52.5" customHeight="1" thickBot="1">
      <c r="A33" s="22">
        <v>21</v>
      </c>
      <c r="B33" s="5" t="s">
        <v>17</v>
      </c>
      <c r="C33" s="17">
        <v>1981</v>
      </c>
      <c r="D33" s="17">
        <v>875.4</v>
      </c>
      <c r="E33" s="7">
        <f>E4/D77*D33</f>
        <v>52941.108684147504</v>
      </c>
      <c r="F33" s="7">
        <f>(F4/G4*D33)</f>
        <v>44090.65087620345</v>
      </c>
      <c r="G33" s="7">
        <f>4845.83+843.47</f>
        <v>5689.3</v>
      </c>
      <c r="H33" s="7">
        <v>1334.43</v>
      </c>
      <c r="I33" s="58">
        <v>224.51</v>
      </c>
      <c r="J33" s="59">
        <v>1582.02</v>
      </c>
      <c r="K33" s="13">
        <f>K4/D77*D33</f>
        <v>32579.59733594625</v>
      </c>
      <c r="L33" s="8">
        <f t="shared" si="1"/>
        <v>17749.364628623516</v>
      </c>
      <c r="M33" s="8">
        <f t="shared" si="2"/>
        <v>138441.6168962972</v>
      </c>
      <c r="N33" s="82">
        <v>163063.19999999998</v>
      </c>
      <c r="O33" s="82">
        <v>183483.45</v>
      </c>
      <c r="P33" s="3">
        <f t="shared" si="0"/>
        <v>45041.83310370281</v>
      </c>
      <c r="Q33" s="9" t="s">
        <v>114</v>
      </c>
    </row>
    <row r="34" spans="1:17" s="24" customFormat="1" ht="47.25" customHeight="1" thickBot="1">
      <c r="A34" s="22">
        <v>22</v>
      </c>
      <c r="B34" s="5" t="s">
        <v>18</v>
      </c>
      <c r="C34" s="17">
        <v>1986</v>
      </c>
      <c r="D34" s="17">
        <v>3099.3</v>
      </c>
      <c r="E34" s="7">
        <f>E4/D77*D34</f>
        <v>187434.7477093653</v>
      </c>
      <c r="F34" s="7">
        <f>(F4/G4*D34)</f>
        <v>156100.2447573879</v>
      </c>
      <c r="G34" s="7">
        <f>6658.04+2986.25</f>
        <v>9644.29</v>
      </c>
      <c r="H34" s="7">
        <v>3078.5</v>
      </c>
      <c r="I34" s="58">
        <v>0</v>
      </c>
      <c r="J34" s="59">
        <v>7005.9</v>
      </c>
      <c r="K34" s="13">
        <f>K4/D77*D34</f>
        <v>115346.06582510649</v>
      </c>
      <c r="L34" s="8">
        <f t="shared" si="1"/>
        <v>62840.53666151801</v>
      </c>
      <c r="M34" s="8">
        <f t="shared" si="2"/>
        <v>478609.74829185975</v>
      </c>
      <c r="N34" s="82">
        <v>578140.0800000001</v>
      </c>
      <c r="O34" s="82">
        <v>565210.1699999999</v>
      </c>
      <c r="P34" s="3">
        <f t="shared" si="0"/>
        <v>86600.42170814017</v>
      </c>
      <c r="Q34" s="9" t="s">
        <v>130</v>
      </c>
    </row>
    <row r="35" spans="1:17" s="27" customFormat="1" ht="47.25" customHeight="1" thickBot="1">
      <c r="A35" s="22">
        <v>23</v>
      </c>
      <c r="B35" s="5" t="s">
        <v>19</v>
      </c>
      <c r="C35" s="17">
        <v>1981</v>
      </c>
      <c r="D35" s="17">
        <v>878.4</v>
      </c>
      <c r="E35" s="7">
        <f>E4/D77*D35</f>
        <v>53122.538117609285</v>
      </c>
      <c r="F35" s="7">
        <f>(F4/G4*D35)</f>
        <v>44241.74974829462</v>
      </c>
      <c r="G35" s="7">
        <f>4899.48+846.36</f>
        <v>5745.839999999999</v>
      </c>
      <c r="H35" s="7">
        <v>647.43</v>
      </c>
      <c r="I35" s="58">
        <v>3167.91</v>
      </c>
      <c r="J35" s="59">
        <v>1582.02</v>
      </c>
      <c r="K35" s="13">
        <f>K4/D77*D35</f>
        <v>32691.24777232715</v>
      </c>
      <c r="L35" s="8">
        <f t="shared" si="1"/>
        <v>17810.19178636383</v>
      </c>
      <c r="M35" s="8">
        <f t="shared" si="2"/>
        <v>141198.73563823104</v>
      </c>
      <c r="N35" s="82">
        <v>162919.34</v>
      </c>
      <c r="O35" s="82">
        <v>158277.5</v>
      </c>
      <c r="P35" s="3">
        <f t="shared" si="0"/>
        <v>17078.76436176896</v>
      </c>
      <c r="Q35" s="9" t="s">
        <v>116</v>
      </c>
    </row>
    <row r="36" spans="1:17" s="27" customFormat="1" ht="47.25" customHeight="1" thickBot="1">
      <c r="A36" s="22">
        <v>24</v>
      </c>
      <c r="B36" s="5" t="s">
        <v>23</v>
      </c>
      <c r="C36" s="17">
        <v>1981</v>
      </c>
      <c r="D36" s="17">
        <v>858.9</v>
      </c>
      <c r="E36" s="7">
        <f>E4/D77*D36</f>
        <v>51943.246800107714</v>
      </c>
      <c r="F36" s="7">
        <f>(F4/G4*D36)</f>
        <v>43259.607079702015</v>
      </c>
      <c r="G36" s="7">
        <f>5187.26+827.57</f>
        <v>6014.83</v>
      </c>
      <c r="H36" s="7">
        <v>706.43</v>
      </c>
      <c r="I36" s="58">
        <f>202</f>
        <v>202</v>
      </c>
      <c r="J36" s="59">
        <v>1582.02</v>
      </c>
      <c r="K36" s="13">
        <f>K4/D77*D36</f>
        <v>31965.51993585131</v>
      </c>
      <c r="L36" s="8">
        <f t="shared" si="1"/>
        <v>17414.81526105179</v>
      </c>
      <c r="M36" s="8">
        <f t="shared" si="2"/>
        <v>135673.65381566103</v>
      </c>
      <c r="N36" s="82">
        <v>159739.2</v>
      </c>
      <c r="O36" s="82">
        <v>159065.68</v>
      </c>
      <c r="P36" s="3">
        <f t="shared" si="0"/>
        <v>23392.02618433896</v>
      </c>
      <c r="Q36" s="9" t="s">
        <v>131</v>
      </c>
    </row>
    <row r="37" spans="1:17" s="24" customFormat="1" ht="57" customHeight="1" thickBot="1">
      <c r="A37" s="22">
        <v>25</v>
      </c>
      <c r="B37" s="5" t="s">
        <v>20</v>
      </c>
      <c r="C37" s="17">
        <v>1983</v>
      </c>
      <c r="D37" s="17">
        <v>3016.4</v>
      </c>
      <c r="E37" s="7">
        <f>E4/D77*D37</f>
        <v>182421.2476980381</v>
      </c>
      <c r="F37" s="7">
        <f>(F4/G4*D37)</f>
        <v>151924.8792586019</v>
      </c>
      <c r="G37" s="7">
        <f>13290.81+2906.38</f>
        <v>16197.189999999999</v>
      </c>
      <c r="H37" s="7">
        <v>3207.5</v>
      </c>
      <c r="I37" s="58">
        <v>0</v>
      </c>
      <c r="J37" s="59">
        <v>5430.75</v>
      </c>
      <c r="K37" s="13">
        <f>K4/D77*D37</f>
        <v>112260.79209978099</v>
      </c>
      <c r="L37" s="8">
        <f t="shared" si="1"/>
        <v>61159.67953596068</v>
      </c>
      <c r="M37" s="8">
        <f t="shared" si="2"/>
        <v>471442.359056421</v>
      </c>
      <c r="N37" s="82">
        <v>561519.14</v>
      </c>
      <c r="O37" s="82">
        <v>553510.91</v>
      </c>
      <c r="P37" s="3">
        <f t="shared" si="0"/>
        <v>82068.55094357906</v>
      </c>
      <c r="Q37" s="23" t="s">
        <v>149</v>
      </c>
    </row>
    <row r="38" spans="1:17" s="24" customFormat="1" ht="47.25" customHeight="1" thickBot="1">
      <c r="A38" s="22">
        <v>26</v>
      </c>
      <c r="B38" s="5" t="s">
        <v>21</v>
      </c>
      <c r="C38" s="17">
        <v>1982</v>
      </c>
      <c r="D38" s="17">
        <v>878.3</v>
      </c>
      <c r="E38" s="7">
        <f>E4/D77*D38</f>
        <v>53116.49046982723</v>
      </c>
      <c r="F38" s="7">
        <f>(F4/G4*D38)</f>
        <v>44236.713119224914</v>
      </c>
      <c r="G38" s="7">
        <f>2579.24+846.26</f>
        <v>3425.5</v>
      </c>
      <c r="H38" s="7">
        <v>1468.43</v>
      </c>
      <c r="I38" s="58">
        <v>223.81</v>
      </c>
      <c r="J38" s="59">
        <v>1590.76</v>
      </c>
      <c r="K38" s="13">
        <f>K4/D77*D38</f>
        <v>32687.526091114454</v>
      </c>
      <c r="L38" s="8">
        <f t="shared" si="1"/>
        <v>17808.16421443915</v>
      </c>
      <c r="M38" s="8">
        <f t="shared" si="2"/>
        <v>136749.22968016658</v>
      </c>
      <c r="N38" s="82">
        <v>162562.77000000002</v>
      </c>
      <c r="O38" s="82">
        <v>158691.67</v>
      </c>
      <c r="P38" s="3">
        <f t="shared" si="0"/>
        <v>21942.440319833433</v>
      </c>
      <c r="Q38" s="9" t="s">
        <v>117</v>
      </c>
    </row>
    <row r="39" spans="1:17" s="24" customFormat="1" ht="39.75" customHeight="1" thickBot="1">
      <c r="A39" s="22">
        <v>27</v>
      </c>
      <c r="B39" s="5" t="s">
        <v>22</v>
      </c>
      <c r="C39" s="17">
        <v>1992</v>
      </c>
      <c r="D39" s="17">
        <v>2553.3</v>
      </c>
      <c r="E39" s="7">
        <f>E4/D77*D39</f>
        <v>154414.59081932128</v>
      </c>
      <c r="F39" s="7">
        <f>(F4/G4*D39)</f>
        <v>128600.25003679493</v>
      </c>
      <c r="G39" s="7">
        <f>23879.61+2460.17</f>
        <v>26339.78</v>
      </c>
      <c r="H39" s="7">
        <v>4596.5</v>
      </c>
      <c r="I39" s="58">
        <v>0</v>
      </c>
      <c r="J39" s="59">
        <v>7391.98</v>
      </c>
      <c r="K39" s="13">
        <f>K4/D77*D39</f>
        <v>95025.68640378292</v>
      </c>
      <c r="L39" s="8">
        <f t="shared" si="1"/>
        <v>51769.99395278093</v>
      </c>
      <c r="M39" s="8">
        <f t="shared" si="2"/>
        <v>416368.7872598991</v>
      </c>
      <c r="N39" s="82">
        <v>476977.4799999999</v>
      </c>
      <c r="O39" s="82">
        <v>447791.12</v>
      </c>
      <c r="P39" s="3">
        <f t="shared" si="0"/>
        <v>31422.332740100916</v>
      </c>
      <c r="Q39" s="23" t="s">
        <v>55</v>
      </c>
    </row>
    <row r="40" spans="1:17" s="24" customFormat="1" ht="40.5" customHeight="1" thickBot="1">
      <c r="A40" s="22">
        <v>28</v>
      </c>
      <c r="B40" s="5" t="s">
        <v>24</v>
      </c>
      <c r="C40" s="17">
        <v>1987</v>
      </c>
      <c r="D40" s="17">
        <v>849.5</v>
      </c>
      <c r="E40" s="7">
        <f>E4/D77*D40</f>
        <v>51374.767908594134</v>
      </c>
      <c r="F40" s="7">
        <f>(F4/G4*D40)</f>
        <v>42786.16394714968</v>
      </c>
      <c r="G40" s="7">
        <f>5452.86+818.51</f>
        <v>6271.37</v>
      </c>
      <c r="H40" s="7">
        <v>11875.55</v>
      </c>
      <c r="I40" s="58">
        <v>223.81</v>
      </c>
      <c r="J40" s="59">
        <v>1582</v>
      </c>
      <c r="K40" s="13">
        <f>K4/D77*D40</f>
        <v>31615.681901857828</v>
      </c>
      <c r="L40" s="8">
        <f t="shared" si="1"/>
        <v>17224.223500132142</v>
      </c>
      <c r="M40" s="8">
        <f t="shared" si="2"/>
        <v>145729.34375760163</v>
      </c>
      <c r="N40" s="82">
        <v>157770.78</v>
      </c>
      <c r="O40" s="82">
        <v>157217.76</v>
      </c>
      <c r="P40" s="3">
        <f t="shared" si="0"/>
        <v>11488.41624239838</v>
      </c>
      <c r="Q40" s="9" t="s">
        <v>118</v>
      </c>
    </row>
    <row r="41" spans="1:17" s="24" customFormat="1" ht="37.5" customHeight="1" thickBot="1">
      <c r="A41" s="22">
        <v>29</v>
      </c>
      <c r="B41" s="5" t="s">
        <v>25</v>
      </c>
      <c r="C41" s="17">
        <v>1989</v>
      </c>
      <c r="D41" s="17">
        <v>856.7</v>
      </c>
      <c r="E41" s="7">
        <f>E4/D77*D41</f>
        <v>51810.198548902415</v>
      </c>
      <c r="F41" s="7">
        <f>(F4/G4*D41)</f>
        <v>43148.80124016849</v>
      </c>
      <c r="G41" s="7">
        <f>4117.36+825.45</f>
        <v>4942.8099999999995</v>
      </c>
      <c r="H41" s="7">
        <v>16206.56</v>
      </c>
      <c r="I41" s="58">
        <v>223.81</v>
      </c>
      <c r="J41" s="59">
        <v>1590.76</v>
      </c>
      <c r="K41" s="13">
        <f>K4/D77*D41</f>
        <v>31883.642949171986</v>
      </c>
      <c r="L41" s="8">
        <f t="shared" si="1"/>
        <v>17370.208678708896</v>
      </c>
      <c r="M41" s="8">
        <f t="shared" si="2"/>
        <v>149806.58273824287</v>
      </c>
      <c r="N41" s="82">
        <v>158866.26</v>
      </c>
      <c r="O41" s="82">
        <v>168344.82</v>
      </c>
      <c r="P41" s="3">
        <f t="shared" si="0"/>
        <v>18538.23726175714</v>
      </c>
      <c r="Q41" s="9" t="s">
        <v>119</v>
      </c>
    </row>
    <row r="42" spans="1:17" s="24" customFormat="1" ht="42" customHeight="1" thickBot="1">
      <c r="A42" s="22">
        <v>30</v>
      </c>
      <c r="B42" s="5" t="s">
        <v>43</v>
      </c>
      <c r="C42" s="17">
        <v>1990</v>
      </c>
      <c r="D42" s="17">
        <v>2196.6</v>
      </c>
      <c r="E42" s="7">
        <f>E4/D77*D42</f>
        <v>132842.63118071557</v>
      </c>
      <c r="F42" s="7">
        <f>(F4/G4*D42)</f>
        <v>110634.59414515478</v>
      </c>
      <c r="G42" s="7">
        <f>203611.36+959.96</f>
        <v>204571.31999999998</v>
      </c>
      <c r="H42" s="7">
        <v>2768.5</v>
      </c>
      <c r="I42" s="58">
        <v>0</v>
      </c>
      <c r="J42" s="59">
        <v>0</v>
      </c>
      <c r="K42" s="13">
        <f>K4/D77*D42</f>
        <v>81750.44951809406</v>
      </c>
      <c r="L42" s="8">
        <f t="shared" si="1"/>
        <v>44537.64489745764</v>
      </c>
      <c r="M42" s="8">
        <f t="shared" si="2"/>
        <v>532567.4948439643</v>
      </c>
      <c r="N42" s="82">
        <v>222208.56000000003</v>
      </c>
      <c r="O42" s="82">
        <v>213307.83000000002</v>
      </c>
      <c r="P42" s="3">
        <f t="shared" si="0"/>
        <v>-319259.66484396433</v>
      </c>
      <c r="Q42" s="9" t="s">
        <v>102</v>
      </c>
    </row>
    <row r="43" spans="1:17" s="24" customFormat="1" ht="52.5" customHeight="1" thickBot="1">
      <c r="A43" s="22">
        <v>31</v>
      </c>
      <c r="B43" s="5" t="s">
        <v>44</v>
      </c>
      <c r="C43" s="17">
        <v>1990</v>
      </c>
      <c r="D43" s="25">
        <v>619</v>
      </c>
      <c r="E43" s="7">
        <f>E4/D77*D43</f>
        <v>37434.93977094735</v>
      </c>
      <c r="F43" s="7">
        <f>(F4/G4*D43)</f>
        <v>31176.73394147811</v>
      </c>
      <c r="G43" s="7">
        <f>7183.76+596.42</f>
        <v>7780.18</v>
      </c>
      <c r="H43" s="7">
        <v>6216.55</v>
      </c>
      <c r="I43" s="58">
        <v>0</v>
      </c>
      <c r="J43" s="59">
        <v>0</v>
      </c>
      <c r="K43" s="13">
        <f>K4/D77*D43</f>
        <v>23037.206706592107</v>
      </c>
      <c r="L43" s="8">
        <f t="shared" si="1"/>
        <v>12550.670213751378</v>
      </c>
      <c r="M43" s="8">
        <f t="shared" si="2"/>
        <v>105645.61041901755</v>
      </c>
      <c r="N43" s="82">
        <v>114205.5</v>
      </c>
      <c r="O43" s="82">
        <v>99055.96999999999</v>
      </c>
      <c r="P43" s="3">
        <f t="shared" si="0"/>
        <v>-6589.640419017567</v>
      </c>
      <c r="Q43" s="9" t="s">
        <v>120</v>
      </c>
    </row>
    <row r="44" spans="1:17" s="24" customFormat="1" ht="52.5" customHeight="1" thickBot="1">
      <c r="A44" s="22">
        <v>32</v>
      </c>
      <c r="B44" s="5" t="s">
        <v>39</v>
      </c>
      <c r="C44" s="17">
        <v>1988</v>
      </c>
      <c r="D44" s="17">
        <v>373.2</v>
      </c>
      <c r="E44" s="7">
        <f>E4/D77*D44</f>
        <v>22569.821522645474</v>
      </c>
      <c r="F44" s="7">
        <f>(F4/G4*D44)</f>
        <v>18796.699688141565</v>
      </c>
      <c r="G44" s="7">
        <f>2302.09+359.59</f>
        <v>2661.6800000000003</v>
      </c>
      <c r="H44" s="7">
        <v>0</v>
      </c>
      <c r="I44" s="58">
        <v>0</v>
      </c>
      <c r="J44" s="59">
        <v>841.06</v>
      </c>
      <c r="K44" s="13">
        <f>K4/D77*D44</f>
        <v>13889.314285783803</v>
      </c>
      <c r="L44" s="8">
        <f t="shared" si="1"/>
        <v>7566.898422895015</v>
      </c>
      <c r="M44" s="8">
        <f t="shared" si="2"/>
        <v>58758.57549657084</v>
      </c>
      <c r="N44" s="82">
        <v>62862.899999999994</v>
      </c>
      <c r="O44" s="82">
        <v>61150.31</v>
      </c>
      <c r="P44" s="3">
        <f t="shared" si="0"/>
        <v>2391.7345034291575</v>
      </c>
      <c r="Q44" s="23" t="s">
        <v>98</v>
      </c>
    </row>
    <row r="45" spans="1:17" s="24" customFormat="1" ht="41.25" customHeight="1" thickBot="1">
      <c r="A45" s="22">
        <v>33</v>
      </c>
      <c r="B45" s="5" t="s">
        <v>26</v>
      </c>
      <c r="C45" s="17">
        <v>1964</v>
      </c>
      <c r="D45" s="17">
        <v>376.6</v>
      </c>
      <c r="E45" s="7">
        <f>E4/D77*D45</f>
        <v>22775.441547235496</v>
      </c>
      <c r="F45" s="7">
        <v>0</v>
      </c>
      <c r="G45" s="7">
        <f>115.72+362.86</f>
        <v>478.58000000000004</v>
      </c>
      <c r="H45" s="7">
        <v>0</v>
      </c>
      <c r="I45" s="58">
        <v>0</v>
      </c>
      <c r="J45" s="59">
        <v>841.06</v>
      </c>
      <c r="K45" s="13">
        <f>K4/D77*D45</f>
        <v>14015.85144701549</v>
      </c>
      <c r="L45" s="8">
        <f t="shared" si="1"/>
        <v>7635.835868334038</v>
      </c>
      <c r="M45" s="8">
        <f t="shared" si="2"/>
        <v>38110.93299425099</v>
      </c>
      <c r="N45" s="82">
        <v>43413.950000000004</v>
      </c>
      <c r="O45" s="82">
        <v>35466.39</v>
      </c>
      <c r="P45" s="3">
        <f t="shared" si="0"/>
        <v>-2644.5429942509872</v>
      </c>
      <c r="Q45" s="23"/>
    </row>
    <row r="46" spans="1:17" s="24" customFormat="1" ht="45" customHeight="1" thickBot="1">
      <c r="A46" s="22">
        <v>34</v>
      </c>
      <c r="B46" s="5" t="s">
        <v>27</v>
      </c>
      <c r="C46" s="17">
        <v>1954</v>
      </c>
      <c r="D46" s="17">
        <v>400.3</v>
      </c>
      <c r="E46" s="7">
        <f>E4/D77*D46</f>
        <v>24208.73407158356</v>
      </c>
      <c r="F46" s="7">
        <v>0</v>
      </c>
      <c r="G46" s="7">
        <f>1053.66+385.7</f>
        <v>1439.3600000000001</v>
      </c>
      <c r="H46" s="7">
        <v>634.95</v>
      </c>
      <c r="I46" s="58">
        <v>0</v>
      </c>
      <c r="J46" s="59">
        <v>1919.05</v>
      </c>
      <c r="K46" s="13">
        <f>K4/D77*D46</f>
        <v>14897.889894424588</v>
      </c>
      <c r="L46" s="8">
        <f t="shared" si="1"/>
        <v>8116.370414482515</v>
      </c>
      <c r="M46" s="8">
        <f t="shared" si="2"/>
        <v>43099.98396600815</v>
      </c>
      <c r="N46" s="82">
        <v>44843.280000000006</v>
      </c>
      <c r="O46" s="82">
        <v>46046.72</v>
      </c>
      <c r="P46" s="3">
        <f t="shared" si="0"/>
        <v>2946.7360339918523</v>
      </c>
      <c r="Q46" s="23"/>
    </row>
    <row r="47" spans="1:17" s="24" customFormat="1" ht="52.5" customHeight="1" thickBot="1">
      <c r="A47" s="22">
        <v>35</v>
      </c>
      <c r="B47" s="5" t="s">
        <v>29</v>
      </c>
      <c r="C47" s="17">
        <v>1970</v>
      </c>
      <c r="D47" s="17">
        <v>708.6</v>
      </c>
      <c r="E47" s="7">
        <f>E4/D77*D47</f>
        <v>42853.63218367252</v>
      </c>
      <c r="F47" s="7">
        <v>0</v>
      </c>
      <c r="G47" s="7">
        <f>6998.46+682.75</f>
        <v>7681.21</v>
      </c>
      <c r="H47" s="7">
        <v>2101.5</v>
      </c>
      <c r="I47" s="58">
        <v>0</v>
      </c>
      <c r="J47" s="59">
        <v>1711.27</v>
      </c>
      <c r="K47" s="13">
        <f>K4/D77*D47</f>
        <v>26371.833073168284</v>
      </c>
      <c r="L47" s="8">
        <f t="shared" si="1"/>
        <v>14367.374658262079</v>
      </c>
      <c r="M47" s="8">
        <f t="shared" si="2"/>
        <v>80719.4452568408</v>
      </c>
      <c r="N47" s="82">
        <v>99017.27999999998</v>
      </c>
      <c r="O47" s="82">
        <v>98689.85</v>
      </c>
      <c r="P47" s="3">
        <f t="shared" si="0"/>
        <v>17970.404743159204</v>
      </c>
      <c r="Q47" s="23" t="s">
        <v>87</v>
      </c>
    </row>
    <row r="48" spans="1:17" s="24" customFormat="1" ht="52.5" customHeight="1" thickBot="1">
      <c r="A48" s="22">
        <v>36</v>
      </c>
      <c r="B48" s="5" t="s">
        <v>30</v>
      </c>
      <c r="C48" s="17">
        <v>1983</v>
      </c>
      <c r="D48" s="17">
        <v>383.1</v>
      </c>
      <c r="E48" s="7">
        <f>E4/D77*D48</f>
        <v>23168.538653069354</v>
      </c>
      <c r="F48" s="7">
        <f>(F4/G4*D48)</f>
        <v>19295.32596604243</v>
      </c>
      <c r="G48" s="7">
        <f>1893.36+369.13</f>
        <v>2262.49</v>
      </c>
      <c r="H48" s="7">
        <v>1050.75</v>
      </c>
      <c r="I48" s="58">
        <v>0</v>
      </c>
      <c r="J48" s="59">
        <v>730.31</v>
      </c>
      <c r="K48" s="13">
        <f>K4/D77*D48</f>
        <v>14257.76072584077</v>
      </c>
      <c r="L48" s="8">
        <f t="shared" si="1"/>
        <v>7767.628043438051</v>
      </c>
      <c r="M48" s="8">
        <f t="shared" si="2"/>
        <v>60765.17534495256</v>
      </c>
      <c r="N48" s="82">
        <v>71141.76000000001</v>
      </c>
      <c r="O48" s="82">
        <v>73621.79000000001</v>
      </c>
      <c r="P48" s="3">
        <f t="shared" si="0"/>
        <v>12856.614655047451</v>
      </c>
      <c r="Q48" s="23" t="s">
        <v>88</v>
      </c>
    </row>
    <row r="49" spans="1:17" s="24" customFormat="1" ht="52.5" customHeight="1" thickBot="1">
      <c r="A49" s="22">
        <v>37</v>
      </c>
      <c r="B49" s="28" t="s">
        <v>31</v>
      </c>
      <c r="C49" s="17">
        <v>1987</v>
      </c>
      <c r="D49" s="17">
        <v>4309.4</v>
      </c>
      <c r="E49" s="7">
        <f>E4/D77*D49</f>
        <v>260617.3335200654</v>
      </c>
      <c r="F49" s="7">
        <f>(F4/G4*D49)</f>
        <v>217048.4931298962</v>
      </c>
      <c r="G49" s="7">
        <f>39184.91+4152.21</f>
        <v>43337.12</v>
      </c>
      <c r="H49" s="7">
        <v>24323.38</v>
      </c>
      <c r="I49" s="58">
        <v>0</v>
      </c>
      <c r="J49" s="59">
        <v>7011.74</v>
      </c>
      <c r="K49" s="13">
        <f>K4/D77*D49</f>
        <v>160382.13017994832</v>
      </c>
      <c r="L49" s="8">
        <f t="shared" si="1"/>
        <v>87376.18452203584</v>
      </c>
      <c r="M49" s="8">
        <f t="shared" si="2"/>
        <v>712720.1968299099</v>
      </c>
      <c r="N49" s="82">
        <v>799678.08</v>
      </c>
      <c r="O49" s="82">
        <v>797976.98</v>
      </c>
      <c r="P49" s="3">
        <f t="shared" si="0"/>
        <v>85256.78317009006</v>
      </c>
      <c r="Q49" s="9" t="s">
        <v>103</v>
      </c>
    </row>
    <row r="50" spans="1:17" s="24" customFormat="1" ht="52.5" customHeight="1" thickBot="1">
      <c r="A50" s="22">
        <v>38</v>
      </c>
      <c r="B50" s="5" t="s">
        <v>32</v>
      </c>
      <c r="C50" s="17">
        <v>1986</v>
      </c>
      <c r="D50" s="17">
        <v>841.6</v>
      </c>
      <c r="E50" s="7">
        <f>E4/D77*D50</f>
        <v>50897.00373381145</v>
      </c>
      <c r="F50" s="7">
        <f>(F4/G4*D50)</f>
        <v>42388.270250642934</v>
      </c>
      <c r="G50" s="7">
        <f>2329.87+810.9</f>
        <v>3140.77</v>
      </c>
      <c r="H50" s="7">
        <v>1755.75</v>
      </c>
      <c r="I50" s="58">
        <v>6892.18</v>
      </c>
      <c r="J50" s="59">
        <v>1582.01</v>
      </c>
      <c r="K50" s="13">
        <f>K4/D77*D50</f>
        <v>31321.669086054793</v>
      </c>
      <c r="L50" s="8">
        <f t="shared" si="1"/>
        <v>17064.04531808265</v>
      </c>
      <c r="M50" s="8">
        <f t="shared" si="2"/>
        <v>137977.65307050917</v>
      </c>
      <c r="N50" s="82">
        <v>156285.18</v>
      </c>
      <c r="O50" s="82">
        <v>162996.08999999997</v>
      </c>
      <c r="P50" s="3">
        <f t="shared" si="0"/>
        <v>25018.436929490796</v>
      </c>
      <c r="Q50" s="9" t="s">
        <v>104</v>
      </c>
    </row>
    <row r="51" spans="1:18" s="24" customFormat="1" ht="52.5" customHeight="1" thickBot="1">
      <c r="A51" s="22">
        <v>39</v>
      </c>
      <c r="B51" s="26" t="s">
        <v>33</v>
      </c>
      <c r="C51" s="17">
        <v>1987</v>
      </c>
      <c r="D51" s="17">
        <v>872.5</v>
      </c>
      <c r="E51" s="7">
        <f>E4/D77*D51</f>
        <v>52765.72689846779</v>
      </c>
      <c r="F51" s="7">
        <f>(F4/G4*D51)</f>
        <v>43944.588633181986</v>
      </c>
      <c r="G51" s="7">
        <f>7383.7+840.68</f>
        <v>8224.38</v>
      </c>
      <c r="H51" s="7">
        <v>3879.88</v>
      </c>
      <c r="I51" s="58">
        <v>0</v>
      </c>
      <c r="J51" s="59">
        <v>1582</v>
      </c>
      <c r="K51" s="13">
        <f>K4/D77*D51</f>
        <v>32471.66858077805</v>
      </c>
      <c r="L51" s="8">
        <f t="shared" si="1"/>
        <v>17690.56504280788</v>
      </c>
      <c r="M51" s="8">
        <f t="shared" si="2"/>
        <v>142868.24411242784</v>
      </c>
      <c r="N51" s="82">
        <v>161689.25999999998</v>
      </c>
      <c r="O51" s="82">
        <v>161156.64</v>
      </c>
      <c r="P51" s="3">
        <f t="shared" si="0"/>
        <v>18288.395887572173</v>
      </c>
      <c r="Q51" s="9" t="s">
        <v>111</v>
      </c>
      <c r="R51" s="24" t="s">
        <v>107</v>
      </c>
    </row>
    <row r="52" spans="1:17" s="24" customFormat="1" ht="52.5" customHeight="1" thickBot="1">
      <c r="A52" s="22">
        <v>40</v>
      </c>
      <c r="B52" s="26" t="s">
        <v>34</v>
      </c>
      <c r="C52" s="17">
        <v>1983</v>
      </c>
      <c r="D52" s="17">
        <v>826.2</v>
      </c>
      <c r="E52" s="7">
        <f>E4/D77*D52</f>
        <v>49965.665975374315</v>
      </c>
      <c r="F52" s="7">
        <f>(F4/G4*D52)</f>
        <v>41612.62937390826</v>
      </c>
      <c r="G52" s="7">
        <f>5068.17+796.06</f>
        <v>5864.23</v>
      </c>
      <c r="H52" s="7">
        <v>20030.63</v>
      </c>
      <c r="I52" s="58">
        <v>0</v>
      </c>
      <c r="J52" s="59">
        <v>1582</v>
      </c>
      <c r="K52" s="13">
        <f>K4/D77*D52</f>
        <v>30748.530179299516</v>
      </c>
      <c r="L52" s="8">
        <f t="shared" si="1"/>
        <v>16751.799241682376</v>
      </c>
      <c r="M52" s="8">
        <f t="shared" si="2"/>
        <v>149803.68552858208</v>
      </c>
      <c r="N52" s="82">
        <v>153490.80000000002</v>
      </c>
      <c r="O52" s="82">
        <v>155132.02000000002</v>
      </c>
      <c r="P52" s="3">
        <f t="shared" si="0"/>
        <v>5328.33447141794</v>
      </c>
      <c r="Q52" s="9" t="s">
        <v>123</v>
      </c>
    </row>
    <row r="53" spans="1:17" s="24" customFormat="1" ht="52.5" customHeight="1" thickBot="1">
      <c r="A53" s="22">
        <v>41</v>
      </c>
      <c r="B53" s="5" t="s">
        <v>35</v>
      </c>
      <c r="C53" s="17">
        <v>1987</v>
      </c>
      <c r="D53" s="17">
        <v>4280.1</v>
      </c>
      <c r="E53" s="7">
        <f>E4/D77*D53</f>
        <v>258845.37271992204</v>
      </c>
      <c r="F53" s="7">
        <f>(F4/G4*D53)</f>
        <v>215572.7608124725</v>
      </c>
      <c r="G53" s="7">
        <f>25453.15+4123.98</f>
        <v>29577.13</v>
      </c>
      <c r="H53" s="7">
        <v>71071.06</v>
      </c>
      <c r="I53" s="58">
        <v>0</v>
      </c>
      <c r="J53" s="59">
        <v>7011.74</v>
      </c>
      <c r="K53" s="13">
        <f>K4/D77*D53</f>
        <v>159291.67758462825</v>
      </c>
      <c r="L53" s="8">
        <f t="shared" si="1"/>
        <v>86782.10594810547</v>
      </c>
      <c r="M53" s="8">
        <f t="shared" si="2"/>
        <v>741369.7411170228</v>
      </c>
      <c r="N53" s="82">
        <v>794443.44</v>
      </c>
      <c r="O53" s="82">
        <v>797519.4100000001</v>
      </c>
      <c r="P53" s="3">
        <f t="shared" si="0"/>
        <v>56149.668882977334</v>
      </c>
      <c r="Q53" s="9" t="s">
        <v>105</v>
      </c>
    </row>
    <row r="54" spans="1:17" s="24" customFormat="1" ht="53.25" customHeight="1" thickBot="1">
      <c r="A54" s="22">
        <v>42</v>
      </c>
      <c r="B54" s="29" t="s">
        <v>36</v>
      </c>
      <c r="C54" s="30">
        <v>1985</v>
      </c>
      <c r="D54" s="30">
        <v>4234.9</v>
      </c>
      <c r="E54" s="12">
        <f>E4/D77*D54</f>
        <v>256111.8359224312</v>
      </c>
      <c r="F54" s="12">
        <f>(F4/G4*D54)</f>
        <v>213296.20447296547</v>
      </c>
      <c r="G54" s="12">
        <f>27565.12+4080.43</f>
        <v>31645.55</v>
      </c>
      <c r="H54" s="12">
        <v>39312.35</v>
      </c>
      <c r="I54" s="58">
        <v>380733.54</v>
      </c>
      <c r="J54" s="59">
        <v>7011.72</v>
      </c>
      <c r="K54" s="13">
        <f>K4/D77*D54</f>
        <v>157609.47767648933</v>
      </c>
      <c r="L54" s="12">
        <f t="shared" si="1"/>
        <v>85865.64343815138</v>
      </c>
      <c r="M54" s="12">
        <f t="shared" si="2"/>
        <v>1085720.678071886</v>
      </c>
      <c r="N54" s="82">
        <v>787382.7</v>
      </c>
      <c r="O54" s="82">
        <v>777285.2399999999</v>
      </c>
      <c r="P54" s="3">
        <f t="shared" si="0"/>
        <v>-308435.4380718862</v>
      </c>
      <c r="Q54" s="23" t="s">
        <v>89</v>
      </c>
    </row>
    <row r="55" spans="1:17" s="24" customFormat="1" ht="52.5" customHeight="1" thickBot="1">
      <c r="A55" s="22">
        <v>43</v>
      </c>
      <c r="B55" s="26" t="s">
        <v>37</v>
      </c>
      <c r="C55" s="17">
        <v>1986</v>
      </c>
      <c r="D55" s="17">
        <v>843.8</v>
      </c>
      <c r="E55" s="7">
        <f>E4/D77*D55</f>
        <v>51030.051985016755</v>
      </c>
      <c r="F55" s="7">
        <f>(F4/G4*D55)</f>
        <v>42499.07609017646</v>
      </c>
      <c r="G55" s="7">
        <f>11136.7+813.02</f>
        <v>11949.720000000001</v>
      </c>
      <c r="H55" s="7">
        <v>3094.31</v>
      </c>
      <c r="I55" s="58">
        <v>9452.28</v>
      </c>
      <c r="J55" s="59">
        <v>1582.02</v>
      </c>
      <c r="K55" s="13">
        <f>K4/D77*D55</f>
        <v>31403.546072734116</v>
      </c>
      <c r="L55" s="8">
        <f t="shared" si="1"/>
        <v>17108.651900425546</v>
      </c>
      <c r="M55" s="8">
        <f t="shared" si="2"/>
        <v>151011.00414792733</v>
      </c>
      <c r="N55" s="82">
        <v>156291.21000000002</v>
      </c>
      <c r="O55" s="82">
        <v>161026.61</v>
      </c>
      <c r="P55" s="3">
        <f t="shared" si="0"/>
        <v>10015.605852072651</v>
      </c>
      <c r="Q55" s="23" t="s">
        <v>90</v>
      </c>
    </row>
    <row r="56" spans="1:17" s="1" customFormat="1" ht="43.5" customHeight="1" thickBot="1">
      <c r="A56" s="37"/>
      <c r="B56" s="38" t="s">
        <v>67</v>
      </c>
      <c r="C56" s="39"/>
      <c r="D56" s="40">
        <f aca="true" t="shared" si="3" ref="D56:J56">SUM(D13:D55)</f>
        <v>65669.84</v>
      </c>
      <c r="E56" s="3">
        <f>SUM(E13:E55)</f>
        <v>3971480.62224192</v>
      </c>
      <c r="F56" s="3">
        <f t="shared" si="3"/>
        <v>3223615.8646516283</v>
      </c>
      <c r="G56" s="3">
        <f>SUM(G13:G55)</f>
        <v>1240785.9499999997</v>
      </c>
      <c r="H56" s="3">
        <f t="shared" si="3"/>
        <v>439896.43</v>
      </c>
      <c r="I56" s="60">
        <f t="shared" si="3"/>
        <v>615756.3</v>
      </c>
      <c r="J56" s="60">
        <f t="shared" si="3"/>
        <v>110788.21999999999</v>
      </c>
      <c r="K56" s="3">
        <f aca="true" t="shared" si="4" ref="K56:P56">SUM(K13:K55)</f>
        <v>2444022.097687933</v>
      </c>
      <c r="L56" s="3">
        <f t="shared" si="4"/>
        <v>1331503.2388203857</v>
      </c>
      <c r="M56" s="3">
        <f t="shared" si="4"/>
        <v>12046345.484581482</v>
      </c>
      <c r="N56" s="83">
        <f t="shared" si="4"/>
        <v>11829427.449999997</v>
      </c>
      <c r="O56" s="83">
        <f t="shared" si="4"/>
        <v>11737459.63</v>
      </c>
      <c r="P56" s="3">
        <f t="shared" si="4"/>
        <v>-308885.8545814816</v>
      </c>
      <c r="Q56" s="23"/>
    </row>
    <row r="57" spans="1:17" s="1" customFormat="1" ht="52.5" customHeight="1" thickBot="1">
      <c r="A57" s="4" t="s">
        <v>2</v>
      </c>
      <c r="B57" s="5" t="s">
        <v>68</v>
      </c>
      <c r="C57" s="6">
        <v>1973</v>
      </c>
      <c r="D57" s="31">
        <v>331.1</v>
      </c>
      <c r="E57" s="7">
        <f>E4/D77*D57+E3/D72*D57</f>
        <v>26352.56061343403</v>
      </c>
      <c r="F57" s="7">
        <v>0</v>
      </c>
      <c r="G57" s="7">
        <f>5158.64+330.01</f>
        <v>5488.650000000001</v>
      </c>
      <c r="H57" s="61">
        <v>3074.06</v>
      </c>
      <c r="I57" s="58">
        <v>1949.13</v>
      </c>
      <c r="J57" s="7">
        <v>864.38</v>
      </c>
      <c r="K57" s="7">
        <f>(K4/D77*D57)+(K3/D72*D57)</f>
        <v>17341.578472840123</v>
      </c>
      <c r="L57" s="7">
        <f>K57*54.48%</f>
        <v>9447.691952003299</v>
      </c>
      <c r="M57" s="8">
        <f t="shared" si="2"/>
        <v>55070.359086274155</v>
      </c>
      <c r="N57" s="82">
        <v>59353.15999999999</v>
      </c>
      <c r="O57" s="82">
        <v>57906.2</v>
      </c>
      <c r="P57" s="3">
        <f aca="true" t="shared" si="5" ref="P57:P71">O57-M57</f>
        <v>2835.8409137258423</v>
      </c>
      <c r="Q57" s="9" t="s">
        <v>125</v>
      </c>
    </row>
    <row r="58" spans="1:17" s="1" customFormat="1" ht="52.5" customHeight="1" thickBot="1">
      <c r="A58" s="4">
        <v>2</v>
      </c>
      <c r="B58" s="5" t="s">
        <v>69</v>
      </c>
      <c r="C58" s="6">
        <v>1976</v>
      </c>
      <c r="D58" s="6">
        <v>371.4</v>
      </c>
      <c r="E58" s="7">
        <f>E4/D77*D58+E3/D72*D58</f>
        <v>29560.07554161703</v>
      </c>
      <c r="F58" s="7">
        <v>0</v>
      </c>
      <c r="G58" s="7">
        <f>3817.76+370.17</f>
        <v>4187.93</v>
      </c>
      <c r="H58" s="61">
        <v>663.36</v>
      </c>
      <c r="I58" s="58">
        <v>18240</v>
      </c>
      <c r="J58" s="7">
        <v>864.38</v>
      </c>
      <c r="K58" s="7">
        <f>(K4/D77*D58)+(K3/D72*D58)</f>
        <v>19452.317260081007</v>
      </c>
      <c r="L58" s="7">
        <f aca="true" t="shared" si="6" ref="L58:L71">K58*54.48%</f>
        <v>10597.622443292132</v>
      </c>
      <c r="M58" s="8">
        <f t="shared" si="2"/>
        <v>72968.06280169803</v>
      </c>
      <c r="N58" s="82">
        <v>60406.68</v>
      </c>
      <c r="O58" s="82">
        <v>63902.35</v>
      </c>
      <c r="P58" s="3">
        <f t="shared" si="5"/>
        <v>-9065.712801698035</v>
      </c>
      <c r="Q58" s="23" t="s">
        <v>91</v>
      </c>
    </row>
    <row r="59" spans="1:17" s="1" customFormat="1" ht="52.5" customHeight="1" thickBot="1">
      <c r="A59" s="4">
        <v>3</v>
      </c>
      <c r="B59" s="5" t="s">
        <v>70</v>
      </c>
      <c r="C59" s="6">
        <v>1975</v>
      </c>
      <c r="D59" s="6">
        <v>371.4</v>
      </c>
      <c r="E59" s="7">
        <f>E4/D77*D59+E3/D72*D59</f>
        <v>29560.07554161703</v>
      </c>
      <c r="F59" s="7">
        <v>0</v>
      </c>
      <c r="G59" s="7">
        <f>70.14+370.17</f>
        <v>440.31</v>
      </c>
      <c r="H59" s="61">
        <v>663.36</v>
      </c>
      <c r="I59" s="58">
        <v>0</v>
      </c>
      <c r="J59" s="7">
        <v>864.38</v>
      </c>
      <c r="K59" s="7">
        <f>(K4/D77*D59)+(K3/D72*D59)</f>
        <v>19452.317260081007</v>
      </c>
      <c r="L59" s="7">
        <f t="shared" si="6"/>
        <v>10597.622443292132</v>
      </c>
      <c r="M59" s="8">
        <f t="shared" si="2"/>
        <v>50980.44280169804</v>
      </c>
      <c r="N59" s="82">
        <v>43095.060000000005</v>
      </c>
      <c r="O59" s="82">
        <v>41626.490000000005</v>
      </c>
      <c r="P59" s="3">
        <f t="shared" si="5"/>
        <v>-9353.952801698033</v>
      </c>
      <c r="Q59" s="9" t="s">
        <v>106</v>
      </c>
    </row>
    <row r="60" spans="1:17" s="1" customFormat="1" ht="52.5" customHeight="1" thickBot="1">
      <c r="A60" s="4">
        <v>4</v>
      </c>
      <c r="B60" s="5" t="s">
        <v>71</v>
      </c>
      <c r="C60" s="6">
        <v>1986</v>
      </c>
      <c r="D60" s="6">
        <v>496.8</v>
      </c>
      <c r="E60" s="7">
        <f>E4/D77*D60+E3/D72*D60</f>
        <v>39540.77956132295</v>
      </c>
      <c r="F60" s="7">
        <v>0</v>
      </c>
      <c r="G60" s="7">
        <f>819.24+495.16</f>
        <v>1314.4</v>
      </c>
      <c r="H60" s="61">
        <v>663.36</v>
      </c>
      <c r="I60" s="58">
        <v>25893.36</v>
      </c>
      <c r="J60" s="7">
        <v>864.38</v>
      </c>
      <c r="K60" s="7">
        <f>(K4/D77*D60)+(K3/D72*D60)</f>
        <v>26020.22405710351</v>
      </c>
      <c r="L60" s="7">
        <f t="shared" si="6"/>
        <v>14175.818066309992</v>
      </c>
      <c r="M60" s="8">
        <f t="shared" si="2"/>
        <v>94296.50361842646</v>
      </c>
      <c r="N60" s="82">
        <v>81093.59999999998</v>
      </c>
      <c r="O60" s="82">
        <v>69909.30000000002</v>
      </c>
      <c r="P60" s="3">
        <f t="shared" si="5"/>
        <v>-24387.203618426443</v>
      </c>
      <c r="Q60" s="9" t="s">
        <v>126</v>
      </c>
    </row>
    <row r="61" spans="1:17" s="1" customFormat="1" ht="52.5" customHeight="1" thickBot="1">
      <c r="A61" s="4">
        <v>5</v>
      </c>
      <c r="B61" s="5" t="s">
        <v>72</v>
      </c>
      <c r="C61" s="6">
        <v>1981</v>
      </c>
      <c r="D61" s="6">
        <v>500.6</v>
      </c>
      <c r="E61" s="7">
        <f>E4/D77*D61+E3/D72*D61</f>
        <v>39843.22513767767</v>
      </c>
      <c r="F61" s="7">
        <v>0</v>
      </c>
      <c r="G61" s="7">
        <f>471.51+498.95</f>
        <v>970.46</v>
      </c>
      <c r="H61" s="61">
        <v>663.36</v>
      </c>
      <c r="I61" s="58">
        <v>0</v>
      </c>
      <c r="J61" s="7">
        <v>864.38</v>
      </c>
      <c r="K61" s="7">
        <f>(K4/D77*D61)+(K3/D72*D61)</f>
        <v>26219.251535801166</v>
      </c>
      <c r="L61" s="7">
        <f t="shared" si="6"/>
        <v>14284.248236704474</v>
      </c>
      <c r="M61" s="8">
        <f t="shared" si="2"/>
        <v>68560.67667347883</v>
      </c>
      <c r="N61" s="82">
        <v>80601.48</v>
      </c>
      <c r="O61" s="82">
        <v>78357.33</v>
      </c>
      <c r="P61" s="3">
        <f t="shared" si="5"/>
        <v>9796.653326521176</v>
      </c>
      <c r="Q61" s="9" t="s">
        <v>127</v>
      </c>
    </row>
    <row r="62" spans="1:17" s="1" customFormat="1" ht="52.5" customHeight="1" thickBot="1">
      <c r="A62" s="4">
        <v>6</v>
      </c>
      <c r="B62" s="5" t="s">
        <v>73</v>
      </c>
      <c r="C62" s="6">
        <v>1985</v>
      </c>
      <c r="D62" s="6">
        <v>491.2</v>
      </c>
      <c r="E62" s="7">
        <f>E4/D77*D62+E3/D72*D62</f>
        <v>39095.07029090545</v>
      </c>
      <c r="F62" s="7">
        <v>0</v>
      </c>
      <c r="G62" s="7">
        <f>231.38+489.58</f>
        <v>720.96</v>
      </c>
      <c r="H62" s="61">
        <v>2120.36</v>
      </c>
      <c r="I62" s="58">
        <v>0</v>
      </c>
      <c r="J62" s="7">
        <v>864.38</v>
      </c>
      <c r="K62" s="7">
        <f>(K4/D77*D62)+(K3/D72*D62)</f>
        <v>25726.92040428592</v>
      </c>
      <c r="L62" s="7">
        <f t="shared" si="6"/>
        <v>14016.026236254967</v>
      </c>
      <c r="M62" s="8">
        <f t="shared" si="2"/>
        <v>68527.69069519137</v>
      </c>
      <c r="N62" s="82">
        <v>82714.49999999999</v>
      </c>
      <c r="O62" s="82">
        <v>82187.09999999999</v>
      </c>
      <c r="P62" s="3">
        <f t="shared" si="5"/>
        <v>13659.409304808622</v>
      </c>
      <c r="Q62" s="9" t="s">
        <v>133</v>
      </c>
    </row>
    <row r="63" spans="1:17" s="1" customFormat="1" ht="52.5" customHeight="1" thickBot="1">
      <c r="A63" s="4">
        <v>7</v>
      </c>
      <c r="B63" s="5" t="s">
        <v>74</v>
      </c>
      <c r="C63" s="6">
        <v>1966</v>
      </c>
      <c r="D63" s="6">
        <v>358.1</v>
      </c>
      <c r="E63" s="7">
        <f>E4/D77*D63+E3/D72*D63</f>
        <v>28501.516024375494</v>
      </c>
      <c r="F63" s="7">
        <v>0</v>
      </c>
      <c r="G63" s="7">
        <f>3040.19+356.92</f>
        <v>3397.11</v>
      </c>
      <c r="H63" s="61">
        <v>663.36</v>
      </c>
      <c r="I63" s="58">
        <v>0</v>
      </c>
      <c r="J63" s="7">
        <v>864.37</v>
      </c>
      <c r="K63" s="7">
        <f>(K4/D77*D63)+(K3/D72*D63)</f>
        <v>18755.721084639226</v>
      </c>
      <c r="L63" s="7">
        <f t="shared" si="6"/>
        <v>10218.11684691145</v>
      </c>
      <c r="M63" s="8">
        <f t="shared" si="2"/>
        <v>52182.077109014725</v>
      </c>
      <c r="N63" s="82">
        <v>60907.97999999999</v>
      </c>
      <c r="O63" s="82">
        <v>61740.40000000001</v>
      </c>
      <c r="P63" s="3">
        <f t="shared" si="5"/>
        <v>9558.322890985284</v>
      </c>
      <c r="Q63" s="9" t="s">
        <v>128</v>
      </c>
    </row>
    <row r="64" spans="1:17" s="1" customFormat="1" ht="52.5" customHeight="1" thickBot="1">
      <c r="A64" s="4">
        <v>8</v>
      </c>
      <c r="B64" s="5" t="s">
        <v>75</v>
      </c>
      <c r="C64" s="6">
        <v>1985</v>
      </c>
      <c r="D64" s="6">
        <v>485.2</v>
      </c>
      <c r="E64" s="7">
        <f>E4/D77*D64+E3/D72*D64</f>
        <v>38617.524644029574</v>
      </c>
      <c r="F64" s="7">
        <v>0</v>
      </c>
      <c r="G64" s="7">
        <f>619.21+483.6</f>
        <v>1102.81</v>
      </c>
      <c r="H64" s="61">
        <v>3639.96</v>
      </c>
      <c r="I64" s="58">
        <v>0</v>
      </c>
      <c r="J64" s="7">
        <v>864.37</v>
      </c>
      <c r="K64" s="7">
        <f>(K4/D77*D64)+(K3/D72*D64)</f>
        <v>25412.666490552787</v>
      </c>
      <c r="L64" s="7">
        <f t="shared" si="6"/>
        <v>13844.820704053158</v>
      </c>
      <c r="M64" s="8">
        <f t="shared" si="2"/>
        <v>69637.33113458236</v>
      </c>
      <c r="N64" s="82">
        <v>81711.84</v>
      </c>
      <c r="O64" s="82">
        <v>64783.93000000001</v>
      </c>
      <c r="P64" s="3">
        <f t="shared" si="5"/>
        <v>-4853.401134582353</v>
      </c>
      <c r="Q64" s="9" t="s">
        <v>132</v>
      </c>
    </row>
    <row r="65" spans="1:17" s="1" customFormat="1" ht="30.75" customHeight="1" thickBot="1">
      <c r="A65" s="4">
        <v>9</v>
      </c>
      <c r="B65" s="5" t="s">
        <v>76</v>
      </c>
      <c r="C65" s="6">
        <v>1962</v>
      </c>
      <c r="D65" s="31">
        <v>378</v>
      </c>
      <c r="E65" s="7">
        <f>E4/D77*D65+E3/D72*D65</f>
        <v>30085.3757531805</v>
      </c>
      <c r="F65" s="7">
        <v>0</v>
      </c>
      <c r="G65" s="7">
        <f>488.42+376.75</f>
        <v>865.1700000000001</v>
      </c>
      <c r="H65" s="61">
        <v>663.36</v>
      </c>
      <c r="I65" s="58">
        <v>0</v>
      </c>
      <c r="J65" s="7">
        <v>95.66</v>
      </c>
      <c r="K65" s="7">
        <f>(K4/D77*D65)+(K3/D72*D65)</f>
        <v>19797.99656518745</v>
      </c>
      <c r="L65" s="7">
        <f t="shared" si="6"/>
        <v>10785.948528714123</v>
      </c>
      <c r="M65" s="8">
        <f t="shared" si="2"/>
        <v>51507.562318367956</v>
      </c>
      <c r="N65" s="82">
        <v>5719.5</v>
      </c>
      <c r="O65" s="82">
        <v>5683.01</v>
      </c>
      <c r="P65" s="3">
        <f t="shared" si="5"/>
        <v>-45824.552318367954</v>
      </c>
      <c r="Q65" s="23"/>
    </row>
    <row r="66" spans="1:17" s="1" customFormat="1" ht="52.5" customHeight="1" thickBot="1">
      <c r="A66" s="4">
        <v>10</v>
      </c>
      <c r="B66" s="5" t="s">
        <v>77</v>
      </c>
      <c r="C66" s="6">
        <v>1963</v>
      </c>
      <c r="D66" s="6">
        <v>362.7</v>
      </c>
      <c r="E66" s="7">
        <f>E4/D77*D66+E3/D72*D66</f>
        <v>28867.634353647005</v>
      </c>
      <c r="F66" s="7">
        <v>0</v>
      </c>
      <c r="G66" s="7">
        <f>4456.21+361.5</f>
        <v>4817.71</v>
      </c>
      <c r="H66" s="61">
        <v>663.36</v>
      </c>
      <c r="I66" s="58">
        <v>0</v>
      </c>
      <c r="J66" s="7">
        <v>864.37</v>
      </c>
      <c r="K66" s="7">
        <f>(K4/D77*D66)+(K3/D72*D66)</f>
        <v>18996.64908516796</v>
      </c>
      <c r="L66" s="7">
        <f t="shared" si="6"/>
        <v>10349.374421599503</v>
      </c>
      <c r="M66" s="8">
        <f t="shared" si="2"/>
        <v>54209.723438814966</v>
      </c>
      <c r="N66" s="82">
        <v>60607.200000000004</v>
      </c>
      <c r="O66" s="82">
        <v>50510.21</v>
      </c>
      <c r="P66" s="3">
        <f t="shared" si="5"/>
        <v>-3699.5134388149672</v>
      </c>
      <c r="Q66" s="23" t="s">
        <v>94</v>
      </c>
    </row>
    <row r="67" spans="1:17" s="1" customFormat="1" ht="52.5" customHeight="1" thickBot="1">
      <c r="A67" s="4">
        <v>11</v>
      </c>
      <c r="B67" s="5" t="s">
        <v>78</v>
      </c>
      <c r="C67" s="6">
        <v>1968</v>
      </c>
      <c r="D67" s="6">
        <v>361.7</v>
      </c>
      <c r="E67" s="7">
        <f>E4/D77*D67+E3/D72*D67</f>
        <v>28788.043412501025</v>
      </c>
      <c r="F67" s="7">
        <v>0</v>
      </c>
      <c r="G67" s="7">
        <f>-251.51+360.51</f>
        <v>109</v>
      </c>
      <c r="H67" s="61">
        <v>663.36</v>
      </c>
      <c r="I67" s="58">
        <v>0</v>
      </c>
      <c r="J67" s="7">
        <f>864.37</f>
        <v>864.37</v>
      </c>
      <c r="K67" s="7">
        <f>(K4/D77*D67)+(K3/D72*D67)</f>
        <v>18944.273432879105</v>
      </c>
      <c r="L67" s="7">
        <f t="shared" si="6"/>
        <v>10320.840166232536</v>
      </c>
      <c r="M67" s="8">
        <f t="shared" si="2"/>
        <v>49369.04684538013</v>
      </c>
      <c r="N67" s="82">
        <v>53165.030000000006</v>
      </c>
      <c r="O67" s="82">
        <v>36540.159999999996</v>
      </c>
      <c r="P67" s="3">
        <f t="shared" si="5"/>
        <v>-12828.886845380133</v>
      </c>
      <c r="Q67" s="23" t="s">
        <v>93</v>
      </c>
    </row>
    <row r="68" spans="1:17" s="1" customFormat="1" ht="52.5" customHeight="1" thickBot="1">
      <c r="A68" s="4">
        <v>12</v>
      </c>
      <c r="B68" s="5" t="s">
        <v>79</v>
      </c>
      <c r="C68" s="6">
        <v>1969</v>
      </c>
      <c r="D68" s="31">
        <v>336</v>
      </c>
      <c r="E68" s="7">
        <f>E4/D77*D68+E3/D72*D68</f>
        <v>26742.556225049335</v>
      </c>
      <c r="F68" s="7">
        <v>0</v>
      </c>
      <c r="G68" s="7">
        <f>1036.08+334.89</f>
        <v>1370.9699999999998</v>
      </c>
      <c r="H68" s="61">
        <v>891.36</v>
      </c>
      <c r="I68" s="58">
        <v>0</v>
      </c>
      <c r="J68" s="7">
        <v>864.37</v>
      </c>
      <c r="K68" s="7">
        <f>(K4/D77*D68)+(K3/D72*D68)</f>
        <v>17598.219169055512</v>
      </c>
      <c r="L68" s="7">
        <f t="shared" si="6"/>
        <v>9587.509803301442</v>
      </c>
      <c r="M68" s="8">
        <f t="shared" si="2"/>
        <v>47467.47539410485</v>
      </c>
      <c r="N68" s="82">
        <v>58952.87999999998</v>
      </c>
      <c r="O68" s="82">
        <v>44446.24</v>
      </c>
      <c r="P68" s="3">
        <f t="shared" si="5"/>
        <v>-3021.2353941048495</v>
      </c>
      <c r="Q68" s="9" t="s">
        <v>124</v>
      </c>
    </row>
    <row r="69" spans="1:17" s="1" customFormat="1" ht="52.5" customHeight="1" thickBot="1">
      <c r="A69" s="4">
        <v>13</v>
      </c>
      <c r="B69" s="5" t="s">
        <v>80</v>
      </c>
      <c r="C69" s="6">
        <v>1971</v>
      </c>
      <c r="D69" s="31">
        <v>750.2</v>
      </c>
      <c r="E69" s="7">
        <f>E4/D77*D69+E3/D72*D69</f>
        <v>59709.12404771432</v>
      </c>
      <c r="F69" s="7">
        <v>0</v>
      </c>
      <c r="G69" s="7">
        <f>5546.41+747.73</f>
        <v>6294.139999999999</v>
      </c>
      <c r="H69" s="61">
        <v>1326.72</v>
      </c>
      <c r="I69" s="58">
        <v>0</v>
      </c>
      <c r="J69" s="7">
        <v>1705.44</v>
      </c>
      <c r="K69" s="7">
        <f>(K4/D77*D69)+(K3/D72*D69)</f>
        <v>39292.21434709954</v>
      </c>
      <c r="L69" s="7">
        <f t="shared" si="6"/>
        <v>21406.39837629983</v>
      </c>
      <c r="M69" s="8">
        <f t="shared" si="2"/>
        <v>108327.63839481387</v>
      </c>
      <c r="N69" s="82">
        <v>121444.38</v>
      </c>
      <c r="O69" s="82">
        <v>90461.88999999998</v>
      </c>
      <c r="P69" s="3">
        <f t="shared" si="5"/>
        <v>-17865.748394813883</v>
      </c>
      <c r="Q69" s="9" t="s">
        <v>129</v>
      </c>
    </row>
    <row r="70" spans="1:17" s="1" customFormat="1" ht="52.5" customHeight="1" thickBot="1">
      <c r="A70" s="4">
        <v>14</v>
      </c>
      <c r="B70" s="5" t="s">
        <v>81</v>
      </c>
      <c r="C70" s="6">
        <v>1979</v>
      </c>
      <c r="D70" s="6">
        <v>810.2</v>
      </c>
      <c r="E70" s="7">
        <f>E4/D77*D70+E3/D72*D70</f>
        <v>64484.58051647313</v>
      </c>
      <c r="F70" s="7">
        <v>0</v>
      </c>
      <c r="G70" s="7">
        <f>11601.42+807.53</f>
        <v>12408.95</v>
      </c>
      <c r="H70" s="61">
        <v>3018.56</v>
      </c>
      <c r="I70" s="58">
        <v>0</v>
      </c>
      <c r="J70" s="7">
        <v>1774.37</v>
      </c>
      <c r="K70" s="7">
        <f>(K4/D77*D70)+(K3/D72*D70)</f>
        <v>42434.75348443089</v>
      </c>
      <c r="L70" s="7">
        <f t="shared" si="6"/>
        <v>23118.453698317946</v>
      </c>
      <c r="M70" s="8">
        <f t="shared" si="2"/>
        <v>124121.214000904</v>
      </c>
      <c r="N70" s="82">
        <v>130654.79999999999</v>
      </c>
      <c r="O70" s="82">
        <v>103065.51999999999</v>
      </c>
      <c r="P70" s="3">
        <f t="shared" si="5"/>
        <v>-21055.69400090401</v>
      </c>
      <c r="Q70" s="23" t="s">
        <v>92</v>
      </c>
    </row>
    <row r="71" spans="1:17" s="1" customFormat="1" ht="52.5" customHeight="1" thickBot="1">
      <c r="A71" s="4">
        <v>15</v>
      </c>
      <c r="B71" s="5" t="s">
        <v>82</v>
      </c>
      <c r="C71" s="6">
        <v>1979</v>
      </c>
      <c r="D71" s="6">
        <v>810.2</v>
      </c>
      <c r="E71" s="7">
        <f>E4/D77*D71+E3/D72*D71</f>
        <v>64484.58051647313</v>
      </c>
      <c r="F71" s="7">
        <v>0</v>
      </c>
      <c r="G71" s="7">
        <f>1849.63+807.53</f>
        <v>2657.16</v>
      </c>
      <c r="H71" s="7">
        <v>1492.56</v>
      </c>
      <c r="I71" s="58">
        <v>0</v>
      </c>
      <c r="J71" s="7">
        <v>1774.37</v>
      </c>
      <c r="K71" s="7">
        <f>(K4/D77*D71)+(K3/D72*D71)</f>
        <v>42434.75348443089</v>
      </c>
      <c r="L71" s="7">
        <f t="shared" si="6"/>
        <v>23118.453698317946</v>
      </c>
      <c r="M71" s="8">
        <f t="shared" si="2"/>
        <v>112843.42400090402</v>
      </c>
      <c r="N71" s="82">
        <v>127808.07999999997</v>
      </c>
      <c r="O71" s="82">
        <v>100368.21</v>
      </c>
      <c r="P71" s="3">
        <f t="shared" si="5"/>
        <v>-12475.214000904016</v>
      </c>
      <c r="Q71" s="9" t="s">
        <v>108</v>
      </c>
    </row>
    <row r="72" spans="1:17" s="1" customFormat="1" ht="39" customHeight="1" thickBot="1">
      <c r="A72" s="37"/>
      <c r="B72" s="38" t="s">
        <v>38</v>
      </c>
      <c r="C72" s="39"/>
      <c r="D72" s="40">
        <f>SUM(D57:D71)</f>
        <v>7214.799999999999</v>
      </c>
      <c r="E72" s="3">
        <f>SUM(E57:E71)</f>
        <v>574232.7221800176</v>
      </c>
      <c r="F72" s="3">
        <f aca="true" t="shared" si="7" ref="F72:P72">SUM(F57:F71)</f>
        <v>0</v>
      </c>
      <c r="G72" s="3">
        <f>SUM(G57:G71)</f>
        <v>46145.73000000001</v>
      </c>
      <c r="H72" s="3">
        <f t="shared" si="7"/>
        <v>20870.460000000003</v>
      </c>
      <c r="I72" s="60">
        <f t="shared" si="7"/>
        <v>46082.490000000005</v>
      </c>
      <c r="J72" s="3">
        <f t="shared" si="7"/>
        <v>14857.970000000001</v>
      </c>
      <c r="K72" s="3">
        <f t="shared" si="7"/>
        <v>377879.85613363615</v>
      </c>
      <c r="L72" s="3">
        <f t="shared" si="7"/>
        <v>205868.94562160494</v>
      </c>
      <c r="M72" s="3">
        <f>SUM(M57:M71)</f>
        <v>1080069.2283136537</v>
      </c>
      <c r="N72" s="83">
        <f>SUM(N57:N71)</f>
        <v>1108236.17</v>
      </c>
      <c r="O72" s="83">
        <f>SUM(O57:O71)</f>
        <v>951488.34</v>
      </c>
      <c r="P72" s="3">
        <f t="shared" si="7"/>
        <v>-128580.88831365375</v>
      </c>
      <c r="Q72" s="23"/>
    </row>
    <row r="73" spans="1:18" s="1" customFormat="1" ht="52.5" customHeight="1" thickBot="1">
      <c r="A73" s="4" t="s">
        <v>2</v>
      </c>
      <c r="B73" s="28" t="s">
        <v>155</v>
      </c>
      <c r="C73" s="6">
        <v>1966</v>
      </c>
      <c r="D73" s="31">
        <v>434.8</v>
      </c>
      <c r="E73" s="7">
        <f>E4/D77*D73</f>
        <v>26295.172556394034</v>
      </c>
      <c r="F73" s="7">
        <v>0</v>
      </c>
      <c r="G73" s="7">
        <f>7677.15+566.2</f>
        <v>8243.35</v>
      </c>
      <c r="H73" s="61">
        <v>995.04</v>
      </c>
      <c r="I73" s="58">
        <v>2400.22</v>
      </c>
      <c r="J73" s="7">
        <v>841.06</v>
      </c>
      <c r="K73" s="7">
        <f>(K4/D77*D73)+(K2/D76*D73)</f>
        <v>24490.237346691483</v>
      </c>
      <c r="L73" s="7">
        <f>K73*54.5%</f>
        <v>13347.17935394686</v>
      </c>
      <c r="M73" s="7">
        <f>SUM(E73:K73)</f>
        <v>63265.07990308551</v>
      </c>
      <c r="N73" s="84">
        <v>59761.97999999999</v>
      </c>
      <c r="O73" s="84">
        <v>30057.579999999998</v>
      </c>
      <c r="P73" s="2">
        <f>O73-M73</f>
        <v>-33207.49990308551</v>
      </c>
      <c r="Q73" s="9" t="s">
        <v>136</v>
      </c>
      <c r="R73" s="10" t="s">
        <v>135</v>
      </c>
    </row>
    <row r="74" spans="1:17" s="1" customFormat="1" ht="78.75" customHeight="1" thickBot="1">
      <c r="A74" s="4">
        <v>2</v>
      </c>
      <c r="B74" s="28" t="s">
        <v>157</v>
      </c>
      <c r="C74" s="6">
        <v>1956</v>
      </c>
      <c r="D74" s="6">
        <v>380.7</v>
      </c>
      <c r="E74" s="7">
        <f>E4/D77*D74</f>
        <v>23023.395106299926</v>
      </c>
      <c r="F74" s="7">
        <v>0</v>
      </c>
      <c r="G74" s="7">
        <f>8851.49+495.75</f>
        <v>9347.24</v>
      </c>
      <c r="H74" s="61">
        <v>663.36</v>
      </c>
      <c r="I74" s="58">
        <v>3327.01</v>
      </c>
      <c r="J74" s="7">
        <v>841.06</v>
      </c>
      <c r="K74" s="7">
        <f>(K4/D77*D74)+(K2/D76*D74)</f>
        <v>21443.039001576464</v>
      </c>
      <c r="L74" s="7">
        <f>K74*54.5%</f>
        <v>11686.456255859173</v>
      </c>
      <c r="M74" s="7">
        <f>SUM(E74:K74)</f>
        <v>58645.10410787639</v>
      </c>
      <c r="N74" s="84">
        <v>33584.939999999995</v>
      </c>
      <c r="O74" s="84">
        <v>33688.41</v>
      </c>
      <c r="P74" s="2">
        <f>O74-M74</f>
        <v>-24956.694107876385</v>
      </c>
      <c r="Q74" s="9" t="s">
        <v>137</v>
      </c>
    </row>
    <row r="75" spans="1:17" s="1" customFormat="1" ht="54.75" customHeight="1">
      <c r="A75" s="4">
        <v>3</v>
      </c>
      <c r="B75" s="28" t="s">
        <v>156</v>
      </c>
      <c r="C75" s="6">
        <v>1962</v>
      </c>
      <c r="D75" s="6">
        <v>281.1</v>
      </c>
      <c r="E75" s="7">
        <f>E4/D77*D75</f>
        <v>16999.93791536882</v>
      </c>
      <c r="F75" s="7">
        <v>0</v>
      </c>
      <c r="G75" s="7">
        <f>761.44+366.05</f>
        <v>1127.49</v>
      </c>
      <c r="H75" s="61">
        <v>663.28</v>
      </c>
      <c r="I75" s="58">
        <v>1663.6</v>
      </c>
      <c r="J75" s="7">
        <v>1150.85</v>
      </c>
      <c r="K75" s="7">
        <f>(K4/D77*D75)+(K2/D76*D75)</f>
        <v>15833.039830163238</v>
      </c>
      <c r="L75" s="7">
        <f>K75*54.5%</f>
        <v>8629.006707438964</v>
      </c>
      <c r="M75" s="7">
        <f>SUM(E75:K75)</f>
        <v>37438.19774553206</v>
      </c>
      <c r="N75" s="84">
        <v>27139.8</v>
      </c>
      <c r="O75" s="84">
        <v>33685.14</v>
      </c>
      <c r="P75" s="2">
        <f>O75-M75</f>
        <v>-3753.05774553206</v>
      </c>
      <c r="Q75" s="9" t="s">
        <v>134</v>
      </c>
    </row>
    <row r="76" spans="1:17" s="1" customFormat="1" ht="41.25" customHeight="1">
      <c r="A76" s="37"/>
      <c r="B76" s="38" t="s">
        <v>38</v>
      </c>
      <c r="C76" s="39"/>
      <c r="D76" s="40">
        <f aca="true" t="shared" si="8" ref="D76:P76">SUM(D73:D75)</f>
        <v>1096.6</v>
      </c>
      <c r="E76" s="3">
        <f t="shared" si="8"/>
        <v>66318.50557806279</v>
      </c>
      <c r="F76" s="3">
        <f t="shared" si="8"/>
        <v>0</v>
      </c>
      <c r="G76" s="3">
        <f t="shared" si="8"/>
        <v>18718.08</v>
      </c>
      <c r="H76" s="3">
        <f t="shared" si="8"/>
        <v>2321.6800000000003</v>
      </c>
      <c r="I76" s="60">
        <f t="shared" si="8"/>
        <v>7390.83</v>
      </c>
      <c r="J76" s="3">
        <f t="shared" si="8"/>
        <v>2832.97</v>
      </c>
      <c r="K76" s="3">
        <f t="shared" si="8"/>
        <v>61766.31617843118</v>
      </c>
      <c r="L76" s="3">
        <f t="shared" si="8"/>
        <v>33662.642317245</v>
      </c>
      <c r="M76" s="3">
        <f t="shared" si="8"/>
        <v>159348.38175649397</v>
      </c>
      <c r="N76" s="83">
        <f t="shared" si="8"/>
        <v>120486.71999999999</v>
      </c>
      <c r="O76" s="83">
        <f t="shared" si="8"/>
        <v>97431.13</v>
      </c>
      <c r="P76" s="3">
        <f t="shared" si="8"/>
        <v>-61917.251756493955</v>
      </c>
      <c r="Q76" s="41"/>
    </row>
    <row r="77" spans="1:17" s="1" customFormat="1" ht="42" customHeight="1" thickBot="1">
      <c r="A77" s="42">
        <v>61</v>
      </c>
      <c r="B77" s="43" t="s">
        <v>83</v>
      </c>
      <c r="C77" s="44"/>
      <c r="D77" s="45">
        <f>D76+D72+D56</f>
        <v>73981.23999999999</v>
      </c>
      <c r="E77" s="45">
        <f aca="true" t="shared" si="9" ref="E77:P77">E76+E72+E56</f>
        <v>4612031.850000001</v>
      </c>
      <c r="F77" s="45">
        <f t="shared" si="9"/>
        <v>3223615.8646516283</v>
      </c>
      <c r="G77" s="45">
        <f t="shared" si="9"/>
        <v>1305649.7599999998</v>
      </c>
      <c r="H77" s="45">
        <f t="shared" si="9"/>
        <v>463088.57</v>
      </c>
      <c r="I77" s="60">
        <f t="shared" si="9"/>
        <v>669229.6200000001</v>
      </c>
      <c r="J77" s="45">
        <f t="shared" si="9"/>
        <v>128479.15999999999</v>
      </c>
      <c r="K77" s="45">
        <f t="shared" si="9"/>
        <v>2883668.2700000005</v>
      </c>
      <c r="L77" s="45">
        <f t="shared" si="9"/>
        <v>1571034.8267592355</v>
      </c>
      <c r="M77" s="45">
        <f t="shared" si="9"/>
        <v>13285763.09465163</v>
      </c>
      <c r="N77" s="85">
        <f t="shared" si="9"/>
        <v>13058150.339999998</v>
      </c>
      <c r="O77" s="85">
        <f t="shared" si="9"/>
        <v>12786379.100000001</v>
      </c>
      <c r="P77" s="45">
        <f t="shared" si="9"/>
        <v>-499383.9946516293</v>
      </c>
      <c r="Q77" s="46"/>
    </row>
    <row r="78" spans="1:17" ht="34.5" customHeight="1">
      <c r="A78" s="87" t="s">
        <v>66</v>
      </c>
      <c r="B78" s="87"/>
      <c r="C78" s="87"/>
      <c r="D78" s="87"/>
      <c r="E78" s="87"/>
      <c r="F78" s="87"/>
      <c r="G78" s="87"/>
      <c r="H78" s="87"/>
      <c r="I78" s="88"/>
      <c r="J78" s="87"/>
      <c r="K78" s="87"/>
      <c r="L78" s="87"/>
      <c r="M78" s="87"/>
      <c r="N78" s="87"/>
      <c r="O78" s="87"/>
      <c r="P78" s="87"/>
      <c r="Q78" s="87"/>
    </row>
    <row r="79" spans="1:13" ht="52.5" customHeight="1">
      <c r="A79" s="89" t="s">
        <v>147</v>
      </c>
      <c r="B79" s="90"/>
      <c r="C79" s="91"/>
      <c r="D79" s="92"/>
      <c r="E79" s="93"/>
      <c r="F79" s="93"/>
      <c r="G79" s="93"/>
      <c r="H79" s="93"/>
      <c r="I79"/>
      <c r="J79"/>
      <c r="K79"/>
      <c r="L79"/>
      <c r="M79"/>
    </row>
    <row r="80" spans="1:13" ht="52.5" customHeight="1">
      <c r="A80" s="89" t="s">
        <v>95</v>
      </c>
      <c r="B80" s="90"/>
      <c r="C80" s="91"/>
      <c r="D80" s="92"/>
      <c r="E80" s="93"/>
      <c r="F80" s="93"/>
      <c r="G80" s="93"/>
      <c r="H80" s="93"/>
      <c r="I80"/>
      <c r="J80"/>
      <c r="K80"/>
      <c r="L80"/>
      <c r="M80"/>
    </row>
    <row r="81" spans="1:13" ht="52.5" customHeight="1">
      <c r="A81" s="89" t="s">
        <v>146</v>
      </c>
      <c r="B81" s="90"/>
      <c r="C81" s="91"/>
      <c r="D81" s="92"/>
      <c r="E81" s="93"/>
      <c r="F81" s="93"/>
      <c r="G81" s="93"/>
      <c r="H81" s="93"/>
      <c r="I81"/>
      <c r="J81"/>
      <c r="K81"/>
      <c r="L81"/>
      <c r="M81"/>
    </row>
    <row r="82" spans="1:13" ht="52.5" customHeight="1">
      <c r="A82" s="94"/>
      <c r="B82" s="90"/>
      <c r="C82" s="91"/>
      <c r="D82" s="92"/>
      <c r="E82" s="93"/>
      <c r="F82" s="93"/>
      <c r="G82" s="93"/>
      <c r="H82" s="93"/>
      <c r="I82"/>
      <c r="J82"/>
      <c r="K82"/>
      <c r="L82"/>
      <c r="M82"/>
    </row>
    <row r="83" spans="1:13" ht="52.5" customHeight="1">
      <c r="A83" s="95"/>
      <c r="B83" s="96"/>
      <c r="C83" s="97"/>
      <c r="D83" s="98"/>
      <c r="E83" s="93"/>
      <c r="F83" s="93"/>
      <c r="G83" s="93"/>
      <c r="H83" s="93"/>
      <c r="I83"/>
      <c r="J83"/>
      <c r="K83"/>
      <c r="L83"/>
      <c r="M83"/>
    </row>
    <row r="84" spans="2:13" ht="52.5" customHeight="1">
      <c r="B84" s="99"/>
      <c r="C84" s="99"/>
      <c r="D84" s="99"/>
      <c r="E84" s="93"/>
      <c r="F84" s="93"/>
      <c r="G84" s="93"/>
      <c r="H84" s="93"/>
      <c r="I84"/>
      <c r="J84"/>
      <c r="K84"/>
      <c r="L84"/>
      <c r="M84"/>
    </row>
    <row r="85" spans="2:13" ht="52.5" customHeight="1">
      <c r="B85" s="99"/>
      <c r="C85" s="99"/>
      <c r="D85" s="99"/>
      <c r="E85" s="93"/>
      <c r="F85" s="93"/>
      <c r="G85" s="93"/>
      <c r="H85" s="93"/>
      <c r="I85"/>
      <c r="J85"/>
      <c r="K85"/>
      <c r="L85"/>
      <c r="M85"/>
    </row>
    <row r="86" spans="5:13" ht="52.5" customHeight="1">
      <c r="E86" s="93"/>
      <c r="F86" s="93"/>
      <c r="G86" s="93"/>
      <c r="H86" s="93"/>
      <c r="I86"/>
      <c r="J86"/>
      <c r="K86"/>
      <c r="L86"/>
      <c r="M86"/>
    </row>
    <row r="87" spans="5:13" ht="52.5" customHeight="1">
      <c r="E87" s="93"/>
      <c r="F87" s="93"/>
      <c r="G87" s="93"/>
      <c r="H87" s="93"/>
      <c r="I87"/>
      <c r="J87"/>
      <c r="K87"/>
      <c r="L87"/>
      <c r="M87"/>
    </row>
    <row r="88" spans="5:13" ht="52.5" customHeight="1">
      <c r="E88" s="93"/>
      <c r="F88" s="93"/>
      <c r="G88" s="93"/>
      <c r="H88" s="93"/>
      <c r="I88"/>
      <c r="J88"/>
      <c r="K88"/>
      <c r="L88"/>
      <c r="M88"/>
    </row>
  </sheetData>
  <sheetProtection/>
  <mergeCells count="20">
    <mergeCell ref="A78:Q78"/>
    <mergeCell ref="C10:C11"/>
    <mergeCell ref="D10:D11"/>
    <mergeCell ref="E9:P9"/>
    <mergeCell ref="A9:D9"/>
    <mergeCell ref="E10:E11"/>
    <mergeCell ref="F10:F11"/>
    <mergeCell ref="G10:G11"/>
    <mergeCell ref="O10:O11"/>
    <mergeCell ref="P10:P11"/>
    <mergeCell ref="A8:P8"/>
    <mergeCell ref="Q8:Q11"/>
    <mergeCell ref="A10:A11"/>
    <mergeCell ref="H10:H11"/>
    <mergeCell ref="I10:I11"/>
    <mergeCell ref="J10:J11"/>
    <mergeCell ref="K10:L10"/>
    <mergeCell ref="M10:M11"/>
    <mergeCell ref="N10:N11"/>
    <mergeCell ref="B10:B11"/>
  </mergeCells>
  <printOptions/>
  <pageMargins left="0.1968503937007874" right="0" top="0.15748031496062992" bottom="0.1968503937007874" header="0" footer="0"/>
  <pageSetup horizontalDpi="600" verticalDpi="600" orientation="landscape" paperSize="9" scale="75" r:id="rId1"/>
  <rowBreaks count="1" manualBreakCount="1"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2019-04-04T07:55:39Z</cp:lastPrinted>
  <dcterms:created xsi:type="dcterms:W3CDTF">2011-01-17T06:18:12Z</dcterms:created>
  <dcterms:modified xsi:type="dcterms:W3CDTF">2019-04-04T08:16:43Z</dcterms:modified>
  <cp:category/>
  <cp:version/>
  <cp:contentType/>
  <cp:contentStatus/>
</cp:coreProperties>
</file>